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68" windowWidth="19236" windowHeight="7296" activeTab="0"/>
  </bookViews>
  <sheets>
    <sheet name="AWP 2015" sheetId="1" r:id="rId1"/>
  </sheets>
  <externalReferences>
    <externalReference r:id="rId4"/>
  </externalReferences>
  <definedNames/>
  <calcPr calcMode="manual" fullCalcOnLoad="1"/>
</workbook>
</file>

<file path=xl/sharedStrings.xml><?xml version="1.0" encoding="utf-8"?>
<sst xmlns="http://schemas.openxmlformats.org/spreadsheetml/2006/main" count="667" uniqueCount="168">
  <si>
    <t>Year:</t>
  </si>
  <si>
    <t>Dept.:</t>
  </si>
  <si>
    <t>Ukraine</t>
  </si>
  <si>
    <t>Project Title:</t>
  </si>
  <si>
    <t>Implementing Partner:</t>
  </si>
  <si>
    <t>001981 (UNDP)</t>
  </si>
  <si>
    <t>TIMEFRAME</t>
  </si>
  <si>
    <t>RESPONSIBLE PARTY</t>
  </si>
  <si>
    <t>PLANNED BUDGET ($)</t>
  </si>
  <si>
    <t>Q1</t>
  </si>
  <si>
    <t>Q2</t>
  </si>
  <si>
    <t>Q3</t>
  </si>
  <si>
    <t>Q4</t>
  </si>
  <si>
    <t>Fund</t>
  </si>
  <si>
    <t>Donor</t>
  </si>
  <si>
    <t>Account</t>
  </si>
  <si>
    <t>001981</t>
  </si>
  <si>
    <t>Contracrt Services - Individuals</t>
  </si>
  <si>
    <t>Internet, communication services</t>
  </si>
  <si>
    <t>Supplies/Expendable Equipments</t>
  </si>
  <si>
    <t>Rental and Maintenance - Premises</t>
  </si>
  <si>
    <t xml:space="preserve">Output - 1:                         </t>
  </si>
  <si>
    <t>10159</t>
  </si>
  <si>
    <t>Office equipment and furniture</t>
  </si>
  <si>
    <t>71600</t>
  </si>
  <si>
    <t>72100</t>
  </si>
  <si>
    <t>Total UNDP (00012)</t>
  </si>
  <si>
    <t>Total EC (10159)</t>
  </si>
  <si>
    <t>Award Id:</t>
  </si>
  <si>
    <t>GRAND TOTAL UNDP (00012)</t>
  </si>
  <si>
    <t>GRAND TOTAL EC (10159)</t>
  </si>
  <si>
    <r>
      <t xml:space="preserve">PLANNED ACTIVITIES                                                                                                      </t>
    </r>
    <r>
      <rPr>
        <i/>
        <sz val="10"/>
        <rFont val="Times New Roman"/>
        <family val="1"/>
      </rPr>
      <t>List activity results and associated actions</t>
    </r>
  </si>
  <si>
    <r>
      <t>EXPECTED OUTPUTS</t>
    </r>
    <r>
      <rPr>
        <sz val="10"/>
        <rFont val="Times New Roman"/>
        <family val="1"/>
      </rPr>
      <t xml:space="preserve">                                                 and baseline, indicators including annual targets</t>
    </r>
  </si>
  <si>
    <t>01981</t>
  </si>
  <si>
    <t>Miscellaneous Expenses (Petty Cash)</t>
  </si>
  <si>
    <t>Montioring of field operations</t>
  </si>
  <si>
    <r>
      <t>EXPECTED OUTPUTS</t>
    </r>
    <r>
      <rPr>
        <sz val="10"/>
        <rFont val="Times New Roman"/>
        <family val="1"/>
      </rPr>
      <t xml:space="preserve">                                                   and baseline, indicators including annual targets</t>
    </r>
  </si>
  <si>
    <t xml:space="preserve">Enhanced capacity of local communities and local authorities to initiate and maintain participatory process on local sustainable development and public services delivery </t>
  </si>
  <si>
    <t xml:space="preserve">SUBTOTAL </t>
  </si>
  <si>
    <t>Activity 2:  Decentralized and participatory governance mechanisms integrated in the standard practice of local governments resulting in improved joint decision-making, planning, and service delivery</t>
  </si>
  <si>
    <t xml:space="preserve">F&amp;A + Misc. </t>
  </si>
  <si>
    <t>74200</t>
  </si>
  <si>
    <t>Activity 1: Knowledge management and experience dissemination mechanism established at local/regional/national level</t>
  </si>
  <si>
    <t>1.2 Expose local and regional authorities, universities and training institutions to CBA best practice</t>
  </si>
  <si>
    <t>1.3 Provide technical/ advisory support for curriculum development on community development</t>
  </si>
  <si>
    <t>2.2 Provide support to relevant government agencies in development of legal framework  for community led development</t>
  </si>
  <si>
    <t>2.3 Produce and disseminate visibility materials to promote CBA vision among stakeholders at all level</t>
  </si>
  <si>
    <t>2.4 Provide donors, media and partners with up to date information on CBA  activities</t>
  </si>
  <si>
    <t>2.5 Maintain CBA website</t>
  </si>
  <si>
    <t>2.6 Organise roundtables donors/partners/media visits</t>
  </si>
  <si>
    <t xml:space="preserve">2.7 Publish CBA experiences and  related documents for wider dissemination </t>
  </si>
  <si>
    <t>3.3 Carry out management reviews audits and assessments of the project implementation</t>
  </si>
  <si>
    <t xml:space="preserve">3.2 Arrange logistics and operational support services </t>
  </si>
  <si>
    <t>3.1 Conduct training on planning, implementation and reporting on micro-projects</t>
  </si>
  <si>
    <t>30079</t>
  </si>
  <si>
    <t xml:space="preserve">Prepared by </t>
  </si>
  <si>
    <t xml:space="preserve">Approved by </t>
  </si>
  <si>
    <t xml:space="preserve">Endorsed by </t>
  </si>
  <si>
    <t>Materials&amp;Goods</t>
  </si>
  <si>
    <t>Staff &amp; Vehicle insurance</t>
  </si>
  <si>
    <t>04000</t>
  </si>
  <si>
    <t>Amount</t>
  </si>
  <si>
    <t>Prgrmble Bdgt</t>
  </si>
  <si>
    <t>TOTAL</t>
  </si>
  <si>
    <t>75700</t>
  </si>
  <si>
    <t>Activity 3:  Community-based initiatives for sustainable rehabilitation management and operation of basic social and communal infrastructure supported</t>
  </si>
  <si>
    <t>3.1 Provide national/ international expertise and support services</t>
  </si>
  <si>
    <t xml:space="preserve">Project MT evaluation </t>
  </si>
  <si>
    <t xml:space="preserve">Gross cost on expatriate/international staffs </t>
  </si>
  <si>
    <t>Annual Workplan of Community Based Approach to Local Development Project phase III (CBA III)</t>
  </si>
  <si>
    <t>Community Based Approach to Local Development Project phase III</t>
  </si>
  <si>
    <t>1.3 Support local/regional authorities in replication of CBA methodology</t>
  </si>
  <si>
    <t>2.2 Provide logistics and ICT support to strengthen rayon/reginonal level CRCs</t>
  </si>
  <si>
    <t>2.3 Support establishment of 'regional development fund' (RDF)</t>
  </si>
  <si>
    <t>Output - 2</t>
  </si>
  <si>
    <t>Community-based agro-service cooperatives created for small business promotion in rural areas</t>
  </si>
  <si>
    <t xml:space="preserve">Activity 1:  Small farm and non-farm businesses developed and promoted in rural areas through cooperatives
</t>
  </si>
  <si>
    <t xml:space="preserve">Output -3:                         </t>
  </si>
  <si>
    <t>Activity 1: Established and strengthened homeowners associations capacities as the self-governance bodies to jointly maintain the common parts of the multi-apartments buildings</t>
  </si>
  <si>
    <t>Activity 2: Replicable community mobilisation model for building retrofitting developed and tested in practice.</t>
  </si>
  <si>
    <t>2.1 Mobilise municipal communities and authorities to get organized/networked for implementation of CBA methodology</t>
  </si>
  <si>
    <t>2.5 Provide technical backstopping for implementation of community projects</t>
  </si>
  <si>
    <t xml:space="preserve">2.6 Support transfer and sustainability of the completed projects </t>
  </si>
  <si>
    <t>SUBTOTAL</t>
  </si>
  <si>
    <t>Activity 3: Enhanced skills and capacity among municipal communities and  authorities in applying innovations to increase the living standards of the population</t>
  </si>
  <si>
    <t xml:space="preserve">Output - 4:                           </t>
  </si>
  <si>
    <t>Enabling environment created at national and local level for replication of the principles of community-based approach to local sustainable development</t>
  </si>
  <si>
    <t>1.4 Strengthen capacity of the national knowledge management hub at the ‘Ukrainian Association of Local and Regional Authorities’</t>
  </si>
  <si>
    <t>1.5 Establish partnership with and provide support to  All-Ukrainian Association of Village and Settlement Councils, Association of Small Cities and Agricultural Service Cooperatives Union of Ukraine for promotion of community-led local sustainable development approach</t>
  </si>
  <si>
    <t>Activity 2: General policy framework on community based approach to local sustainable development is presented to and discussed among national stakeholders</t>
  </si>
  <si>
    <t>Activity 4: Effective project management and advisory support provided for implementation of CBA activities</t>
  </si>
  <si>
    <t>Indicators:</t>
  </si>
  <si>
    <t>Activity 1: Strengthened capacity of local communities and local authorities in applying community led development</t>
  </si>
  <si>
    <t>71300</t>
  </si>
  <si>
    <t>72600</t>
  </si>
  <si>
    <t>1981</t>
  </si>
  <si>
    <t>Communic&amp;Audio Vis Equipment</t>
  </si>
  <si>
    <r>
      <t xml:space="preserve">1. # of community organisations proactive in the local planning process with appropriate legal status availability of sustainability fund, community development plan; 
2. # of community members and local officials trained on participatory decision making;
3. # of replications of CBA methodology in non-CBA areas;
4. # of rayon authorities using LDF for participatory decision making;
5. # of community development plans incorporated in the local development plan;
6.  # of regional development funds (RDF) established to support community initiatives;
7.  # of community initiatives for improving basic social and communal infrastructure and services supported;
</t>
    </r>
    <r>
      <rPr>
        <b/>
        <sz val="10"/>
        <rFont val="Times New Roman"/>
        <family val="1"/>
      </rPr>
      <t>Targets:</t>
    </r>
    <r>
      <rPr>
        <sz val="8"/>
        <rFont val="Times New Roman"/>
        <family val="1"/>
      </rPr>
      <t xml:space="preserve">
1    At least 60% of target 900) community organisations showing evidence of financial sustainability and proactivity in the local planning process by 2016.
2.   8000 executives and members of community organisations and 2000 officials of local/regtonal authorities trained by 2017 with minimum of 50% of female participation.
3.   Authorities of at least 10 regional/rayon applied CBA methodology in non-CBA territory.
4.   At least 55% of rayon authorities use LDF for participatory decision making by 2016
5.   At least 80% of community organisations succeed in getting their CDPs incorporated in the local development plan of rayons by 2016.
6   At least two regional development funds are established by 2017;
7   At least 925 community projects supported, including 150 projects on innovative energy efficiency
</t>
    </r>
    <r>
      <rPr>
        <b/>
        <sz val="10"/>
        <rFont val="Times New Roman"/>
        <family val="1"/>
      </rPr>
      <t>Gender Marker Rating and Motivation - 2</t>
    </r>
    <r>
      <rPr>
        <sz val="8"/>
        <rFont val="Times New Roman"/>
        <family val="1"/>
      </rPr>
      <t xml:space="preserve">
A particular emphasis will be made to empower women and raise gender awareness in communities by supporting women to lead in the identification, planning and implementation of development projects to set up community organizations and promoting the establishment of women led agricultural and other) cooperatives.
</t>
    </r>
    <r>
      <rPr>
        <b/>
        <sz val="10"/>
        <rFont val="Times New Roman"/>
        <family val="1"/>
      </rPr>
      <t>Related CP outcome:</t>
    </r>
    <r>
      <rPr>
        <sz val="8"/>
        <rFont val="Times New Roman"/>
        <family val="1"/>
      </rPr>
      <t xml:space="preserve">
People-centered decentralisation of local public governance
Sustainable economic development through pro-poor policy reform
</t>
    </r>
  </si>
  <si>
    <r>
      <t xml:space="preserve">
</t>
    </r>
    <r>
      <rPr>
        <b/>
        <sz val="10"/>
        <rFont val="Times New Roman"/>
        <family val="1"/>
      </rPr>
      <t>Indicators:</t>
    </r>
    <r>
      <rPr>
        <sz val="8"/>
        <rFont val="Times New Roman"/>
        <family val="1"/>
      </rPr>
      <t xml:space="preserve">
1 # of agro-based service cooperatives | to promote small businesses
established.
</t>
    </r>
    <r>
      <rPr>
        <b/>
        <sz val="10"/>
        <rFont val="Times New Roman"/>
        <family val="1"/>
      </rPr>
      <t>Baseline:</t>
    </r>
    <r>
      <rPr>
        <sz val="8"/>
        <rFont val="Times New Roman"/>
        <family val="1"/>
      </rPr>
      <t xml:space="preserve">
Small producers across in rural Ukraine lack access to market and processing facilities
</t>
    </r>
    <r>
      <rPr>
        <b/>
        <sz val="10"/>
        <rFont val="Times New Roman"/>
        <family val="1"/>
      </rPr>
      <t>Target:</t>
    </r>
    <r>
      <rPr>
        <sz val="8"/>
        <rFont val="Times New Roman"/>
        <family val="1"/>
      </rPr>
      <t xml:space="preserve">
At least 40 cooperatives established
</t>
    </r>
    <r>
      <rPr>
        <b/>
        <sz val="9"/>
        <rFont val="Times New Roman"/>
        <family val="1"/>
      </rPr>
      <t>Gender Marker Rating and Motivation - 2</t>
    </r>
    <r>
      <rPr>
        <sz val="8"/>
        <rFont val="Times New Roman"/>
        <family val="1"/>
      </rPr>
      <t xml:space="preserve">
1 A particular emphasis will be made to empower women and raise gender awareness in communities by i supporting women to lead in the identification, planning and implementation of development projects to set up cooperatives and promoting the establishment of women led agricultural and other cooperatives.
</t>
    </r>
    <r>
      <rPr>
        <b/>
        <sz val="10"/>
        <rFont val="Times New Roman"/>
        <family val="1"/>
      </rPr>
      <t>Related CP outcome:</t>
    </r>
    <r>
      <rPr>
        <sz val="8"/>
        <rFont val="Times New Roman"/>
        <family val="1"/>
      </rPr>
      <t xml:space="preserve">
Sustainable economic development through pro-poor policy reform
</t>
    </r>
  </si>
  <si>
    <r>
      <rPr>
        <b/>
        <sz val="10"/>
        <rFont val="Times New Roman"/>
        <family val="1"/>
      </rPr>
      <t>Indicators:</t>
    </r>
    <r>
      <rPr>
        <sz val="8"/>
        <rFont val="Times New Roman"/>
        <family val="1"/>
      </rPr>
      <t xml:space="preserve">
1 # cities where support to creation of ACMBs is provided
2. # cities where comprehensive technical solutions in multi- apartment buildings are implemented.
3 # of high-visibility events to raising public awareness on energy saving options.
4 # of community members and local/regional authorities trained in energy planning and efficient energy use (with at least 50% of women participating).
5 Financial model is designed for the sustainable and replicable retrofitting of housing stock.
</t>
    </r>
    <r>
      <rPr>
        <b/>
        <sz val="10"/>
        <rFont val="Times New Roman"/>
        <family val="1"/>
      </rPr>
      <t>Baseline:</t>
    </r>
    <r>
      <rPr>
        <sz val="8"/>
        <rFont val="Times New Roman"/>
        <family val="1"/>
      </rPr>
      <t xml:space="preserve">
1.   Only 25% of all multi-apartment buildings in Ukraine is managed by ACMBs
2  Comprehensive technical solutions in housing sector are implemented in limited number of Ukrainian cities.
3 Majority of active community members, local/regional authorities and recently elected officials lack skill in energy planning.
4. The amount of energy consumption of the Ukrainian households is 3-7 times higher than the average in Europe
5    There is no viable financial model to support comprehensive renovation of housing stock affordable for ACMB.
</t>
    </r>
    <r>
      <rPr>
        <b/>
        <sz val="10"/>
        <rFont val="Times New Roman"/>
        <family val="1"/>
      </rPr>
      <t>Targets:</t>
    </r>
    <r>
      <rPr>
        <sz val="8"/>
        <rFont val="Times New Roman"/>
        <family val="1"/>
      </rPr>
      <t xml:space="preserve">
1. At least in 25 cities simple renovation in multi-apartment buildings are supported
2. At least in 5 cities comprehensive technical solutions in multi-apartment buildings are supported.
3. 50 high-visibility events to raising public awareness on energy saving options organised.
4. At least 10,000 people, including community members and local/regional authorities trained in energy planning and efficient energy use (with at least 50% of women participating).
5. Financial model is designed for the sustainable and replicable retrofitting of housing stock.
</t>
    </r>
    <r>
      <rPr>
        <b/>
        <sz val="10"/>
        <rFont val="Times New Roman"/>
        <family val="1"/>
      </rPr>
      <t>Gender Marker Rating and Motivation - 2</t>
    </r>
    <r>
      <rPr>
        <sz val="8"/>
        <rFont val="Times New Roman"/>
        <family val="1"/>
      </rPr>
      <t xml:space="preserve">
Significant involvement and participation of women in key activities on energy planning, training and  implementation of micro-projects on I energy efficiency will be promoted in ' all activities
</t>
    </r>
    <r>
      <rPr>
        <b/>
        <sz val="10"/>
        <rFont val="Times New Roman"/>
        <family val="1"/>
      </rPr>
      <t>Related CP outcome:</t>
    </r>
    <r>
      <rPr>
        <sz val="8"/>
        <rFont val="Times New Roman"/>
        <family val="1"/>
      </rPr>
      <t xml:space="preserve">
People-centered decentralisation of local public governance
Sustainable development policies and practices make the difference
</t>
    </r>
  </si>
  <si>
    <r>
      <rPr>
        <b/>
        <sz val="10"/>
        <rFont val="Times New Roman"/>
        <family val="1"/>
      </rPr>
      <t>Indicators:</t>
    </r>
    <r>
      <rPr>
        <sz val="8"/>
        <rFont val="Times New Roman"/>
        <family val="1"/>
      </rPr>
      <t xml:space="preserve">
1 # of universities/training institutes which included in their teaching curricula a training module on local governance, public participation and sustainable development.
2 % of CO-members, LAs officials, who participated in training, exposure visits, roundtables, etc. state their understanding of and their intention to adopt participatory approaches in all relevant spheres of local governance.
3 National level knowledge management hub in the field of participatory governance and community based development strengthened.
</t>
    </r>
    <r>
      <rPr>
        <b/>
        <sz val="10"/>
        <rFont val="Times New Roman"/>
        <family val="1"/>
      </rPr>
      <t>Baselines:</t>
    </r>
    <r>
      <rPr>
        <sz val="8"/>
        <rFont val="Times New Roman"/>
        <family val="1"/>
      </rPr>
      <t xml:space="preserve">
1 Academia and authorities of all tiers of government lack access to grassroots-based knowledge.
2 Public participation mechanisms are not fully applied in everyday practices of local governments.
3 National level repository of UADRC dedicated to community based approach lacks capacity.
4.     Legal framework for decentralized governance is in the process of revision.
5      Insufficient number of national level advocacy held in past on community based approach
6.     Limited number of innovative approaches to the provision of municipal services.
</t>
    </r>
    <r>
      <rPr>
        <b/>
        <sz val="10"/>
        <rFont val="Times New Roman"/>
        <family val="1"/>
      </rPr>
      <t>Targets.</t>
    </r>
    <r>
      <rPr>
        <sz val="8"/>
        <rFont val="Times New Roman"/>
        <family val="1"/>
      </rPr>
      <t xml:space="preserve">
1.    At least 20 universities/training institutions introduce courses on CBA methodology by 2015.
2     At least 500 CO-members/officials and local/regional authorities from non- CBA communities participated in training, exposure visits roundtables demonstrate understanding and willing to adopt participatory approaches in all relevant spheres of local governance.
3.   The national level knowledge management hub established at UADRC is functioning in linkage with regional and rayon community resource centres.
4     Recommendations to at least 7 legal acts developed and discussed.
5.     At least 4 national roundtables held to discuss and advocate for required policy changes to ensure full-fledged participatory decision making at the local level.
6      At least 100 innovative municipal governance projects supported contributing to improved services delivery
</t>
    </r>
    <r>
      <rPr>
        <b/>
        <sz val="10"/>
        <rFont val="Times New Roman"/>
        <family val="1"/>
      </rPr>
      <t>Gender Marker Rating and Motivation - 2</t>
    </r>
    <r>
      <rPr>
        <sz val="8"/>
        <rFont val="Times New Roman"/>
        <family val="1"/>
      </rPr>
      <t xml:space="preserve">
Empowering women and promoting gender awareness will be achieved through motivating women leaders to come forward to develop their skills and knowledge
</t>
    </r>
    <r>
      <rPr>
        <b/>
        <sz val="10"/>
        <rFont val="Times New Roman"/>
        <family val="1"/>
      </rPr>
      <t>Related CP Outcome:</t>
    </r>
    <r>
      <rPr>
        <sz val="8"/>
        <rFont val="Times New Roman"/>
        <family val="1"/>
      </rPr>
      <t xml:space="preserve">
People-centered decentralisation of local public governance
</t>
    </r>
  </si>
  <si>
    <t>Project Number: 00091957</t>
  </si>
  <si>
    <t>Project Number:  00091960</t>
  </si>
  <si>
    <t>Project Number:  00091959</t>
  </si>
  <si>
    <t xml:space="preserve"> TOTAL Project # 00091958</t>
  </si>
  <si>
    <t xml:space="preserve"> TOTAL Project # 00091957</t>
  </si>
  <si>
    <t>Project Number:  00091958</t>
  </si>
  <si>
    <t xml:space="preserve"> TOTAL Project # 00091959</t>
  </si>
  <si>
    <t>TOTAL Project # 00091960</t>
  </si>
  <si>
    <t>1.3 Develop manuals on ACMB creation and functioning</t>
  </si>
  <si>
    <t xml:space="preserve">Improved delivery of municipal housing services through community-led approach and innovative governance practices                         </t>
  </si>
  <si>
    <t>00012</t>
  </si>
  <si>
    <t>00083522</t>
  </si>
  <si>
    <r>
      <t>EXPECTED OUTPUTS</t>
    </r>
    <r>
      <rPr>
        <sz val="10"/>
        <rFont val="Times New Roman"/>
        <family val="1"/>
      </rPr>
      <t xml:space="preserve">                                                </t>
    </r>
    <r>
      <rPr>
        <sz val="9"/>
        <rFont val="Times New Roman"/>
        <family val="1"/>
      </rPr>
      <t xml:space="preserve"> and baseline, indicators including annual targets</t>
    </r>
  </si>
  <si>
    <r>
      <t xml:space="preserve">PLANNED ACTIVITIES                                                                                                     </t>
    </r>
    <r>
      <rPr>
        <b/>
        <sz val="9"/>
        <rFont val="Times New Roman"/>
        <family val="1"/>
      </rPr>
      <t xml:space="preserve"> </t>
    </r>
    <r>
      <rPr>
        <i/>
        <sz val="9"/>
        <rFont val="Times New Roman"/>
        <family val="1"/>
      </rPr>
      <t>List activity results and associated actions</t>
    </r>
  </si>
  <si>
    <t>GRAND TOTAL AWARD # 00083522</t>
  </si>
  <si>
    <t xml:space="preserve">Date: </t>
  </si>
  <si>
    <t xml:space="preserve">Date:       </t>
  </si>
  <si>
    <r>
      <t xml:space="preserve">Date: </t>
    </r>
    <r>
      <rPr>
        <sz val="10"/>
        <rFont val="Times New Roman"/>
        <family val="1"/>
      </rPr>
      <t xml:space="preserve">        </t>
    </r>
  </si>
  <si>
    <t>Hendrik van Zyl</t>
  </si>
  <si>
    <t>Add/Sub</t>
  </si>
  <si>
    <t>Revised</t>
  </si>
  <si>
    <r>
      <t xml:space="preserve"> BDGT RVSN </t>
    </r>
    <r>
      <rPr>
        <b/>
        <i/>
        <sz val="11"/>
        <rFont val="Times New Roman"/>
        <family val="1"/>
      </rPr>
      <t>A</t>
    </r>
    <r>
      <rPr>
        <b/>
        <sz val="10"/>
        <rFont val="Times New Roman"/>
        <family val="1"/>
      </rPr>
      <t xml:space="preserve"> ($)</t>
    </r>
  </si>
  <si>
    <t>2.1 Develop partnership with local/regional authorities</t>
  </si>
  <si>
    <t>2.6 Support local government in realization and integration of decentralized and participatory governance mechanism</t>
  </si>
  <si>
    <t xml:space="preserve">3.2 Provide seed grants to  implement regular/ replication micro-projects </t>
  </si>
  <si>
    <t xml:space="preserve">3.3 Provide seed grants to  implement energy efficiency micro-projects </t>
  </si>
  <si>
    <t>3.4 Provide technical backstopping for implementation of community projects</t>
  </si>
  <si>
    <t xml:space="preserve">3.5 Support transfer and sustainability of the completed projects </t>
  </si>
  <si>
    <t xml:space="preserve">3.6 Document/publish experiences in energy efficiency in rural context    </t>
  </si>
  <si>
    <t>3.7 Conduct events and /training to increase public awareness about energy efficiency options, involving key stakeholders at local level</t>
  </si>
  <si>
    <t>1.1 Develop partnership with universities and training institutions</t>
  </si>
  <si>
    <t>2.8 Conduct events and /training to increase public awareness about energy efficiency options in housing sector</t>
  </si>
  <si>
    <t xml:space="preserve">3.2 Organize trainings for municipal authorities and communities on innovative governance practices </t>
  </si>
  <si>
    <t>3.4 Support for internal displaced persons</t>
  </si>
  <si>
    <t>3.5 Consolidate lessons learned and ensure knowledge sharing</t>
  </si>
  <si>
    <t>3.3 Provide seed grants to  implement municipal projects on social infrustructure re-habilitation</t>
  </si>
  <si>
    <t>3.4 Provide seed grants to  implement municipal projects on innovative governance initiatives</t>
  </si>
  <si>
    <t>2017</t>
  </si>
  <si>
    <t>30080</t>
  </si>
  <si>
    <t>TICKETS</t>
  </si>
  <si>
    <t>1.1 Update guidelines/leaflets to reflect urban specifics of CBA approach</t>
  </si>
  <si>
    <t>1.2 Update guidelines for comprehensive  energy saving technologies in housing sector at the municipal level</t>
  </si>
  <si>
    <t>2.7 Document experiences in multiappartment houses retrofitting</t>
  </si>
  <si>
    <t xml:space="preserve"> 1.2 Project closing events / CBA staffs and regional authorities on implementation of CBA-III methodology </t>
  </si>
  <si>
    <t xml:space="preserve">1.4 Lessons learned on local communities and local/regional stakeholders mobilization to get organized/ networked for implementation of CBA-III </t>
  </si>
  <si>
    <t>2.4 Lessons learned on functioning of local development forums (LDFs) and regional coor-dination councils (RCCs) for participatory decision-making</t>
  </si>
  <si>
    <t>2.5 Lessons learned on community-based strategic planning and preparation of community development plans (CDPs)</t>
  </si>
  <si>
    <t xml:space="preserve">1.1 Lessons learned on communities and  local/regional authorities partners mobilisation to develop cooperatives in rural areas using document/publish experiences on RED component  </t>
  </si>
  <si>
    <t>1.5 Organize information campaign on lessons learned of ACMB as a progressive form of management of multi-apartment buildings promotion</t>
  </si>
  <si>
    <t>2.1 Organize a nationwide discussion of lessons learned under implementation of practices and procedures of participatory governance</t>
  </si>
  <si>
    <t>3.1 Organize information campaign on lessons learned under capacity development package</t>
  </si>
  <si>
    <t>Vehicle Maintenance and Repair</t>
  </si>
  <si>
    <t>1.4 Organise training for communities and municipal authorities in energy planning and energy efficiency, and ACMBsfunctioning</t>
  </si>
  <si>
    <t>2.9 Conduct summary events/roundtables  related to energy efficiency in housing sector</t>
  </si>
  <si>
    <t>Security Cost</t>
  </si>
  <si>
    <t>1.1 Update videos, leaflets to reflect CBA-III information</t>
  </si>
  <si>
    <t>O Rdtch</t>
  </si>
  <si>
    <t>O Rb</t>
  </si>
  <si>
    <t>Ttl</t>
  </si>
  <si>
    <t>2.2 Support technical design of selected priority projects</t>
  </si>
  <si>
    <t xml:space="preserve">2.3 Provide seed grants to  implement municipal HAs' micro-projects </t>
  </si>
  <si>
    <t xml:space="preserve">2.4 Provide seed grants to  implement building retrofitting micro-projects </t>
  </si>
  <si>
    <t>1.2 Establish and strengthen technical information centres</t>
  </si>
  <si>
    <t>1.3 Provide training and technical support for development of business skills</t>
  </si>
  <si>
    <t>1.4 Provide small grants  to implement economic initiatives</t>
  </si>
  <si>
    <t>1.5 Provide technical backstopping for  implementation and sustainability of the economic initiatives</t>
  </si>
  <si>
    <t xml:space="preserve"> Prepared (date):   29/12/2016</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</si>
</sst>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00"/>
    <numFmt numFmtId="189" formatCode="0####"/>
    <numFmt numFmtId="190" formatCode="#,##0.0"/>
    <numFmt numFmtId="191" formatCode="0.0000000"/>
    <numFmt numFmtId="192" formatCode="0.000000"/>
    <numFmt numFmtId="193" formatCode="0.00000"/>
    <numFmt numFmtId="194" formatCode="0.000"/>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_(* #,##0_);_(* \(#,##0\);_(* &quot;-&quot;??_);_(@_)"/>
    <numFmt numFmtId="201" formatCode="_(* #,##0.0_);_(* \(#,##0.0\);_(* &quot;-&quot;??_);_(@_)"/>
  </numFmts>
  <fonts count="62">
    <font>
      <sz val="10"/>
      <name val="Arial"/>
      <family val="0"/>
    </font>
    <font>
      <b/>
      <sz val="10"/>
      <name val="Times New Roman"/>
      <family val="1"/>
    </font>
    <font>
      <sz val="10"/>
      <name val="Times New Roman"/>
      <family val="1"/>
    </font>
    <font>
      <sz val="8"/>
      <name val="Arial"/>
      <family val="2"/>
    </font>
    <font>
      <u val="single"/>
      <sz val="10"/>
      <color indexed="12"/>
      <name val="Arial"/>
      <family val="2"/>
    </font>
    <font>
      <i/>
      <sz val="10"/>
      <name val="Times New Roman"/>
      <family val="1"/>
    </font>
    <font>
      <u val="single"/>
      <sz val="10"/>
      <name val="Times New Roman"/>
      <family val="1"/>
    </font>
    <font>
      <b/>
      <i/>
      <sz val="10"/>
      <name val="Times New Roman"/>
      <family val="1"/>
    </font>
    <font>
      <b/>
      <sz val="11"/>
      <name val="Times New Roman"/>
      <family val="1"/>
    </font>
    <font>
      <sz val="8"/>
      <name val="Times New Roman"/>
      <family val="1"/>
    </font>
    <font>
      <b/>
      <i/>
      <sz val="9"/>
      <name val="Times New Roman"/>
      <family val="1"/>
    </font>
    <font>
      <b/>
      <sz val="9"/>
      <name val="Times New Roman"/>
      <family val="1"/>
    </font>
    <font>
      <b/>
      <sz val="8"/>
      <name val="Times New Roman"/>
      <family val="1"/>
    </font>
    <font>
      <i/>
      <sz val="9"/>
      <name val="Times New Roman"/>
      <family val="1"/>
    </font>
    <font>
      <sz val="10"/>
      <color indexed="8"/>
      <name val="Arial"/>
      <family val="2"/>
    </font>
    <font>
      <b/>
      <sz val="9"/>
      <color indexed="8"/>
      <name val="Arial"/>
      <family val="2"/>
    </font>
    <font>
      <sz val="9"/>
      <color indexed="8"/>
      <name val="Arial"/>
      <family val="2"/>
    </font>
    <font>
      <sz val="9"/>
      <name val="Times New Roman"/>
      <family val="1"/>
    </font>
    <font>
      <b/>
      <i/>
      <sz val="11"/>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9"/>
      <color indexed="10"/>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9"/>
      <color rgb="FFFF0000"/>
      <name val="Times New Roman"/>
      <family val="1"/>
    </font>
    <font>
      <b/>
      <sz val="9"/>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2"/>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4" fillId="0" borderId="0">
      <alignment vertical="top"/>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486">
    <xf numFmtId="0" fontId="0" fillId="0" borderId="0" xfId="0" applyAlignment="1">
      <alignment/>
    </xf>
    <xf numFmtId="0" fontId="1" fillId="0" borderId="0" xfId="0" applyFont="1" applyFill="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2" fillId="0" borderId="0" xfId="0" applyFont="1" applyFill="1" applyAlignment="1">
      <alignment/>
    </xf>
    <xf numFmtId="0" fontId="2" fillId="0" borderId="0" xfId="0" applyFont="1" applyFill="1" applyAlignment="1">
      <alignment vertical="top"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left"/>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0"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9" fontId="2" fillId="0" borderId="10" xfId="0" applyNumberFormat="1" applyFont="1" applyBorder="1" applyAlignment="1">
      <alignment horizontal="center" vertical="center" wrapText="1"/>
    </xf>
    <xf numFmtId="0" fontId="2" fillId="0" borderId="0" xfId="0" applyFont="1" applyFill="1" applyBorder="1" applyAlignment="1">
      <alignment/>
    </xf>
    <xf numFmtId="49" fontId="2" fillId="0" borderId="0" xfId="0" applyNumberFormat="1" applyFont="1" applyFill="1" applyAlignment="1">
      <alignment/>
    </xf>
    <xf numFmtId="0" fontId="2" fillId="0" borderId="11"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6" fillId="0" borderId="14" xfId="43" applyFont="1" applyFill="1" applyBorder="1" applyAlignment="1" applyProtection="1">
      <alignment horizontal="left" vertical="center" wrapText="1"/>
      <protection/>
    </xf>
    <xf numFmtId="0" fontId="2" fillId="0" borderId="13" xfId="0" applyFont="1" applyBorder="1" applyAlignment="1">
      <alignment vertical="center"/>
    </xf>
    <xf numFmtId="0" fontId="2" fillId="0" borderId="15" xfId="0" applyFont="1" applyFill="1" applyBorder="1" applyAlignment="1">
      <alignment/>
    </xf>
    <xf numFmtId="49" fontId="2" fillId="0" borderId="13"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1" fillId="0" borderId="0" xfId="0" applyFont="1" applyFill="1" applyBorder="1" applyAlignment="1">
      <alignment/>
    </xf>
    <xf numFmtId="0" fontId="2" fillId="0" borderId="0" xfId="0" applyFont="1" applyAlignment="1">
      <alignment horizontal="left"/>
    </xf>
    <xf numFmtId="0" fontId="2" fillId="0" borderId="15" xfId="0" applyFont="1" applyBorder="1" applyAlignment="1">
      <alignment/>
    </xf>
    <xf numFmtId="0" fontId="1" fillId="0" borderId="15" xfId="0" applyFont="1" applyFill="1" applyBorder="1" applyAlignment="1">
      <alignment horizontal="left"/>
    </xf>
    <xf numFmtId="0" fontId="1" fillId="0" borderId="15" xfId="0" applyFont="1" applyFill="1" applyBorder="1" applyAlignment="1">
      <alignment/>
    </xf>
    <xf numFmtId="0" fontId="59" fillId="0" borderId="0" xfId="0" applyFont="1" applyFill="1" applyBorder="1" applyAlignment="1">
      <alignment/>
    </xf>
    <xf numFmtId="0" fontId="2" fillId="0" borderId="0" xfId="0" applyFont="1" applyFill="1" applyAlignment="1">
      <alignment wrapText="1"/>
    </xf>
    <xf numFmtId="0" fontId="1" fillId="0" borderId="0" xfId="0" applyFont="1" applyFill="1" applyAlignment="1">
      <alignment horizontal="center" wrapText="1"/>
    </xf>
    <xf numFmtId="49" fontId="1" fillId="34" borderId="0" xfId="0" applyNumberFormat="1" applyFont="1" applyFill="1" applyBorder="1" applyAlignment="1">
      <alignment horizontal="center" vertical="center" wrapText="1"/>
    </xf>
    <xf numFmtId="0" fontId="1" fillId="34" borderId="0" xfId="0" applyFont="1" applyFill="1" applyBorder="1" applyAlignment="1">
      <alignment horizontal="left"/>
    </xf>
    <xf numFmtId="0" fontId="1" fillId="34" borderId="0" xfId="0" applyFont="1" applyFill="1" applyBorder="1" applyAlignment="1">
      <alignment horizontal="center" vertical="center" wrapText="1"/>
    </xf>
    <xf numFmtId="3" fontId="2" fillId="0" borderId="0" xfId="0" applyNumberFormat="1" applyFont="1" applyAlignment="1">
      <alignment/>
    </xf>
    <xf numFmtId="49" fontId="11" fillId="34" borderId="0" xfId="0" applyNumberFormat="1" applyFont="1" applyFill="1" applyBorder="1" applyAlignment="1">
      <alignment horizontal="center" vertical="center" wrapText="1"/>
    </xf>
    <xf numFmtId="200" fontId="11" fillId="34" borderId="0" xfId="61" applyNumberFormat="1" applyFont="1" applyFill="1" applyAlignment="1">
      <alignment/>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3" fontId="2" fillId="33" borderId="10"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0" xfId="0" applyFont="1" applyFill="1" applyBorder="1" applyAlignment="1">
      <alignment/>
    </xf>
    <xf numFmtId="0" fontId="1" fillId="33" borderId="0"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19" xfId="0" applyFont="1" applyFill="1" applyBorder="1" applyAlignment="1">
      <alignment horizontal="left" vertical="top" wrapText="1"/>
    </xf>
    <xf numFmtId="0" fontId="2" fillId="33" borderId="10" xfId="0" applyFont="1" applyFill="1" applyBorder="1" applyAlignment="1">
      <alignment vertical="top" wrapText="1"/>
    </xf>
    <xf numFmtId="0" fontId="1" fillId="33" borderId="18"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0" xfId="0" applyFont="1" applyFill="1" applyBorder="1" applyAlignment="1">
      <alignment/>
    </xf>
    <xf numFmtId="0" fontId="1" fillId="33" borderId="21" xfId="0" applyFont="1" applyFill="1" applyBorder="1" applyAlignment="1">
      <alignment horizontal="left" vertical="top" wrapText="1"/>
    </xf>
    <xf numFmtId="0" fontId="2" fillId="33" borderId="19"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xf>
    <xf numFmtId="0" fontId="2" fillId="33" borderId="15" xfId="0" applyFont="1" applyFill="1" applyBorder="1" applyAlignment="1">
      <alignment/>
    </xf>
    <xf numFmtId="0" fontId="1" fillId="33" borderId="23" xfId="0" applyFont="1" applyFill="1" applyBorder="1" applyAlignment="1">
      <alignment horizontal="left" vertical="top" wrapText="1"/>
    </xf>
    <xf numFmtId="0" fontId="2" fillId="33" borderId="15" xfId="0" applyFont="1" applyFill="1" applyBorder="1" applyAlignment="1">
      <alignment horizontal="left" wrapText="1"/>
    </xf>
    <xf numFmtId="0" fontId="2" fillId="33" borderId="17" xfId="0" applyFont="1" applyFill="1" applyBorder="1" applyAlignment="1">
      <alignment horizontal="left" wrapText="1"/>
    </xf>
    <xf numFmtId="0" fontId="2" fillId="33" borderId="21" xfId="0" applyFont="1" applyFill="1" applyBorder="1" applyAlignment="1">
      <alignment/>
    </xf>
    <xf numFmtId="0" fontId="2" fillId="33" borderId="19" xfId="0" applyFont="1" applyFill="1" applyBorder="1" applyAlignment="1">
      <alignment/>
    </xf>
    <xf numFmtId="49" fontId="2" fillId="33" borderId="10" xfId="0" applyNumberFormat="1" applyFont="1" applyFill="1" applyBorder="1" applyAlignment="1">
      <alignment horizontal="center" vertical="center" wrapText="1"/>
    </xf>
    <xf numFmtId="0" fontId="1" fillId="33" borderId="20" xfId="0" applyFont="1" applyFill="1" applyBorder="1" applyAlignment="1">
      <alignment/>
    </xf>
    <xf numFmtId="0" fontId="2" fillId="33" borderId="24" xfId="0" applyFont="1" applyFill="1" applyBorder="1" applyAlignment="1">
      <alignment vertical="top" wrapText="1"/>
    </xf>
    <xf numFmtId="0" fontId="2" fillId="33" borderId="24" xfId="0" applyFont="1" applyFill="1" applyBorder="1" applyAlignment="1">
      <alignment wrapText="1"/>
    </xf>
    <xf numFmtId="0" fontId="2" fillId="33" borderId="17" xfId="0" applyFont="1" applyFill="1" applyBorder="1" applyAlignment="1">
      <alignment wrapText="1"/>
    </xf>
    <xf numFmtId="0" fontId="2" fillId="33" borderId="19" xfId="0" applyFont="1" applyFill="1" applyBorder="1" applyAlignment="1">
      <alignment vertical="top" wrapText="1"/>
    </xf>
    <xf numFmtId="0" fontId="2" fillId="33" borderId="0" xfId="0" applyFont="1" applyFill="1" applyBorder="1" applyAlignment="1">
      <alignment vertical="top" wrapText="1"/>
    </xf>
    <xf numFmtId="0" fontId="2" fillId="33" borderId="15" xfId="0" applyFont="1" applyFill="1" applyBorder="1" applyAlignment="1">
      <alignment vertical="top" wrapText="1"/>
    </xf>
    <xf numFmtId="0" fontId="1" fillId="33" borderId="14" xfId="0" applyFont="1" applyFill="1" applyBorder="1" applyAlignment="1">
      <alignment vertical="top" wrapText="1"/>
    </xf>
    <xf numFmtId="0" fontId="1" fillId="33" borderId="13" xfId="0" applyFont="1" applyFill="1" applyBorder="1" applyAlignment="1">
      <alignment vertical="top" wrapText="1"/>
    </xf>
    <xf numFmtId="0" fontId="1" fillId="33" borderId="16" xfId="0" applyFont="1" applyFill="1" applyBorder="1" applyAlignment="1">
      <alignment vertical="top" wrapText="1"/>
    </xf>
    <xf numFmtId="0" fontId="6" fillId="33" borderId="14" xfId="43" applyFont="1" applyFill="1" applyBorder="1" applyAlignment="1" applyProtection="1">
      <alignment vertical="center" wrapText="1"/>
      <protection/>
    </xf>
    <xf numFmtId="0" fontId="6" fillId="33" borderId="13" xfId="43" applyFont="1" applyFill="1" applyBorder="1" applyAlignment="1" applyProtection="1">
      <alignment vertical="center" wrapText="1"/>
      <protection/>
    </xf>
    <xf numFmtId="0" fontId="2" fillId="33" borderId="20" xfId="0" applyFont="1" applyFill="1" applyBorder="1" applyAlignment="1">
      <alignment vertical="top" wrapText="1"/>
    </xf>
    <xf numFmtId="0" fontId="2" fillId="33" borderId="24" xfId="0" applyFont="1" applyFill="1" applyBorder="1" applyAlignment="1">
      <alignment vertical="center" wrapText="1"/>
    </xf>
    <xf numFmtId="0" fontId="2" fillId="33" borderId="24" xfId="0" applyFont="1" applyFill="1" applyBorder="1" applyAlignment="1">
      <alignment/>
    </xf>
    <xf numFmtId="0" fontId="2" fillId="33" borderId="24" xfId="0" applyFont="1" applyFill="1" applyBorder="1" applyAlignment="1">
      <alignment/>
    </xf>
    <xf numFmtId="0" fontId="2" fillId="33" borderId="20" xfId="0" applyFont="1" applyFill="1" applyBorder="1" applyAlignment="1">
      <alignment vertical="center" wrapText="1"/>
    </xf>
    <xf numFmtId="0" fontId="10" fillId="33" borderId="23" xfId="0" applyFont="1" applyFill="1" applyBorder="1" applyAlignment="1">
      <alignment/>
    </xf>
    <xf numFmtId="49" fontId="2" fillId="33" borderId="10" xfId="0" applyNumberFormat="1" applyFont="1" applyFill="1" applyBorder="1" applyAlignment="1">
      <alignment vertical="center" wrapText="1"/>
    </xf>
    <xf numFmtId="0" fontId="2" fillId="7" borderId="10" xfId="0" applyFont="1" applyFill="1" applyBorder="1" applyAlignment="1">
      <alignment horizontal="center" vertical="center" wrapText="1"/>
    </xf>
    <xf numFmtId="0" fontId="1" fillId="0" borderId="15" xfId="0" applyFont="1" applyFill="1" applyBorder="1" applyAlignment="1">
      <alignment horizontal="left"/>
    </xf>
    <xf numFmtId="3" fontId="2" fillId="0" borderId="10" xfId="0" applyNumberFormat="1" applyFont="1" applyFill="1" applyBorder="1" applyAlignment="1">
      <alignment horizontal="center" vertical="center"/>
    </xf>
    <xf numFmtId="3" fontId="1" fillId="33" borderId="12" xfId="0" applyNumberFormat="1" applyFont="1" applyFill="1" applyBorder="1" applyAlignment="1">
      <alignment horizontal="center" vertical="center" wrapText="1"/>
    </xf>
    <xf numFmtId="3" fontId="1" fillId="33" borderId="10" xfId="0" applyNumberFormat="1" applyFont="1" applyFill="1" applyBorder="1" applyAlignment="1">
      <alignment horizontal="center" wrapText="1"/>
    </xf>
    <xf numFmtId="3" fontId="7" fillId="33" borderId="10" xfId="0" applyNumberFormat="1" applyFont="1" applyFill="1" applyBorder="1" applyAlignment="1">
      <alignment horizontal="center" wrapText="1"/>
    </xf>
    <xf numFmtId="3" fontId="8" fillId="33" borderId="10" xfId="0" applyNumberFormat="1" applyFont="1" applyFill="1" applyBorder="1" applyAlignment="1">
      <alignment horizontal="center" wrapText="1"/>
    </xf>
    <xf numFmtId="3" fontId="1"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8"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0" xfId="0" applyFont="1" applyFill="1" applyBorder="1" applyAlignment="1">
      <alignment horizontal="left" vertical="top" wrapText="1"/>
    </xf>
    <xf numFmtId="0" fontId="1" fillId="33" borderId="14"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7" xfId="0" applyFont="1" applyFill="1" applyBorder="1" applyAlignment="1">
      <alignment horizontal="center" vertical="top" wrapText="1"/>
    </xf>
    <xf numFmtId="0" fontId="1" fillId="33" borderId="12" xfId="0"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8" xfId="0" applyFont="1" applyFill="1" applyBorder="1" applyAlignment="1">
      <alignment horizontal="center" vertical="top" wrapText="1"/>
    </xf>
    <xf numFmtId="0" fontId="9" fillId="33" borderId="20" xfId="0" applyFont="1" applyFill="1" applyBorder="1" applyAlignment="1">
      <alignment horizontal="left" vertical="top"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9" fillId="33" borderId="0" xfId="0" applyFont="1" applyFill="1" applyBorder="1" applyAlignment="1">
      <alignment horizontal="left" vertical="top" wrapText="1"/>
    </xf>
    <xf numFmtId="49" fontId="2" fillId="33" borderId="16"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2" xfId="0" applyFont="1" applyFill="1" applyBorder="1" applyAlignment="1">
      <alignment vertical="top" wrapText="1"/>
    </xf>
    <xf numFmtId="49" fontId="2" fillId="33" borderId="11" xfId="0" applyNumberFormat="1" applyFont="1" applyFill="1" applyBorder="1" applyAlignment="1">
      <alignment vertical="center" wrapText="1"/>
    </xf>
    <xf numFmtId="0" fontId="2" fillId="33" borderId="12" xfId="0" applyFont="1" applyFill="1" applyBorder="1" applyAlignment="1">
      <alignment vertical="center" wrapText="1"/>
    </xf>
    <xf numFmtId="3" fontId="2" fillId="33" borderId="12" xfId="0" applyNumberFormat="1" applyFont="1" applyFill="1" applyBorder="1" applyAlignment="1">
      <alignment horizontal="center" vertical="center" wrapText="1"/>
    </xf>
    <xf numFmtId="0" fontId="1" fillId="33" borderId="11" xfId="0" applyFont="1" applyFill="1" applyBorder="1" applyAlignment="1">
      <alignment vertical="top" wrapText="1"/>
    </xf>
    <xf numFmtId="0" fontId="1" fillId="33" borderId="12" xfId="0" applyFont="1" applyFill="1" applyBorder="1" applyAlignment="1">
      <alignment vertical="top" wrapText="1"/>
    </xf>
    <xf numFmtId="0" fontId="1" fillId="33" borderId="10" xfId="0" applyFont="1" applyFill="1" applyBorder="1" applyAlignment="1">
      <alignment vertical="top" wrapText="1"/>
    </xf>
    <xf numFmtId="0" fontId="1" fillId="0" borderId="20" xfId="0" applyFont="1" applyBorder="1" applyAlignment="1">
      <alignment horizontal="left"/>
    </xf>
    <xf numFmtId="0" fontId="2" fillId="33" borderId="22" xfId="0" applyFont="1" applyFill="1" applyBorder="1" applyAlignment="1">
      <alignment horizontal="center" vertical="center" wrapText="1"/>
    </xf>
    <xf numFmtId="0" fontId="2" fillId="33" borderId="11" xfId="0" applyFont="1" applyFill="1" applyBorder="1" applyAlignment="1">
      <alignment vertical="top" wrapText="1"/>
    </xf>
    <xf numFmtId="3" fontId="2" fillId="33" borderId="12" xfId="0" applyNumberFormat="1" applyFont="1" applyFill="1" applyBorder="1" applyAlignment="1">
      <alignment horizontal="center" vertical="center" wrapText="1"/>
    </xf>
    <xf numFmtId="0" fontId="9" fillId="0" borderId="0" xfId="0" applyFont="1" applyBorder="1" applyAlignment="1">
      <alignment horizontal="left" vertical="top" wrapText="1"/>
    </xf>
    <xf numFmtId="0" fontId="9" fillId="0" borderId="15" xfId="0" applyFont="1" applyBorder="1" applyAlignment="1">
      <alignment vertical="top" wrapText="1"/>
    </xf>
    <xf numFmtId="0" fontId="9" fillId="0" borderId="17" xfId="0" applyFont="1" applyBorder="1" applyAlignment="1">
      <alignment vertical="top" wrapText="1"/>
    </xf>
    <xf numFmtId="0" fontId="1" fillId="0" borderId="17" xfId="0" applyFont="1" applyFill="1" applyBorder="1" applyAlignment="1">
      <alignment vertical="top" wrapText="1"/>
    </xf>
    <xf numFmtId="0" fontId="12" fillId="33" borderId="20" xfId="0" applyFont="1" applyFill="1" applyBorder="1" applyAlignment="1">
      <alignment horizontal="left" wrapText="1"/>
    </xf>
    <xf numFmtId="3" fontId="10" fillId="33" borderId="10" xfId="0" applyNumberFormat="1" applyFont="1" applyFill="1" applyBorder="1" applyAlignment="1">
      <alignment horizontal="center"/>
    </xf>
    <xf numFmtId="3" fontId="10" fillId="33" borderId="10" xfId="0" applyNumberFormat="1" applyFont="1" applyFill="1" applyBorder="1" applyAlignment="1">
      <alignment horizontal="center" wrapText="1"/>
    </xf>
    <xf numFmtId="3" fontId="10" fillId="33" borderId="12" xfId="0" applyNumberFormat="1" applyFont="1" applyFill="1" applyBorder="1" applyAlignment="1">
      <alignment horizontal="center" wrapText="1"/>
    </xf>
    <xf numFmtId="0" fontId="15" fillId="0" borderId="0" xfId="33" applyFont="1" applyFill="1" applyAlignment="1">
      <alignment vertical="top"/>
      <protection/>
    </xf>
    <xf numFmtId="14" fontId="16" fillId="0" borderId="0" xfId="33" applyNumberFormat="1" applyFont="1" applyFill="1" applyAlignment="1">
      <alignment horizontal="left" vertical="top"/>
      <protection/>
    </xf>
    <xf numFmtId="49" fontId="2" fillId="33" borderId="11" xfId="0" applyNumberFormat="1" applyFont="1" applyFill="1" applyBorder="1" applyAlignment="1">
      <alignment horizontal="center" vertical="center" wrapText="1"/>
    </xf>
    <xf numFmtId="3" fontId="1" fillId="33" borderId="11" xfId="0" applyNumberFormat="1" applyFont="1" applyFill="1" applyBorder="1" applyAlignment="1">
      <alignment horizontal="center" vertical="center" wrapText="1"/>
    </xf>
    <xf numFmtId="0" fontId="2" fillId="0" borderId="0" xfId="0" applyFont="1" applyBorder="1" applyAlignment="1">
      <alignment horizontal="center" vertical="center"/>
    </xf>
    <xf numFmtId="49" fontId="5" fillId="33" borderId="10"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3" fontId="2" fillId="0" borderId="0" xfId="0" applyNumberFormat="1" applyFont="1" applyBorder="1" applyAlignment="1">
      <alignment/>
    </xf>
    <xf numFmtId="0" fontId="17" fillId="7" borderId="10"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0" fontId="2" fillId="0" borderId="10" xfId="0" applyFont="1" applyBorder="1" applyAlignment="1">
      <alignment horizontal="center"/>
    </xf>
    <xf numFmtId="0" fontId="2" fillId="33" borderId="10" xfId="0" applyFont="1" applyFill="1" applyBorder="1" applyAlignment="1">
      <alignment horizontal="center" vertical="center" wrapText="1"/>
    </xf>
    <xf numFmtId="0" fontId="2" fillId="0" borderId="10" xfId="0" applyFont="1" applyBorder="1" applyAlignment="1">
      <alignment/>
    </xf>
    <xf numFmtId="3" fontId="2" fillId="33" borderId="0" xfId="0" applyNumberFormat="1" applyFont="1" applyFill="1" applyBorder="1" applyAlignment="1">
      <alignment horizontal="center" vertical="center" wrapText="1"/>
    </xf>
    <xf numFmtId="0" fontId="2" fillId="0" borderId="10" xfId="0" applyFont="1" applyBorder="1" applyAlignment="1">
      <alignment horizontal="center" vertical="center"/>
    </xf>
    <xf numFmtId="3" fontId="2" fillId="0" borderId="10" xfId="0" applyNumberFormat="1" applyFont="1" applyBorder="1" applyAlignment="1">
      <alignment horizontal="center" vertical="center"/>
    </xf>
    <xf numFmtId="3" fontId="7" fillId="33" borderId="10" xfId="0" applyNumberFormat="1" applyFont="1" applyFill="1" applyBorder="1" applyAlignment="1">
      <alignment horizontal="center" vertical="center" wrapText="1"/>
    </xf>
    <xf numFmtId="3" fontId="10" fillId="33" borderId="10" xfId="0" applyNumberFormat="1" applyFont="1" applyFill="1" applyBorder="1" applyAlignment="1">
      <alignment horizontal="center" vertical="center" wrapText="1"/>
    </xf>
    <xf numFmtId="3" fontId="10" fillId="33" borderId="12" xfId="0" applyNumberFormat="1" applyFont="1" applyFill="1" applyBorder="1" applyAlignment="1">
      <alignment horizontal="center" vertical="center" wrapText="1"/>
    </xf>
    <xf numFmtId="3" fontId="8" fillId="33" borderId="10" xfId="0" applyNumberFormat="1" applyFont="1" applyFill="1" applyBorder="1" applyAlignment="1">
      <alignment horizontal="center" vertical="center" wrapText="1"/>
    </xf>
    <xf numFmtId="3" fontId="10" fillId="33" borderId="10" xfId="0" applyNumberFormat="1" applyFont="1" applyFill="1" applyBorder="1" applyAlignment="1">
      <alignment horizontal="center" vertical="center"/>
    </xf>
    <xf numFmtId="0" fontId="2" fillId="0" borderId="0" xfId="0" applyFont="1" applyAlignment="1">
      <alignment horizontal="right"/>
    </xf>
    <xf numFmtId="49" fontId="1" fillId="33" borderId="13" xfId="0" applyNumberFormat="1" applyFont="1" applyFill="1" applyBorder="1" applyAlignment="1">
      <alignment horizontal="left" vertical="center" wrapText="1"/>
    </xf>
    <xf numFmtId="0" fontId="1" fillId="0" borderId="0" xfId="0" applyFont="1" applyAlignment="1">
      <alignment horizontal="center"/>
    </xf>
    <xf numFmtId="0" fontId="1" fillId="0" borderId="0" xfId="0" applyFont="1" applyFill="1" applyAlignment="1">
      <alignment horizontal="center" wrapText="1"/>
    </xf>
    <xf numFmtId="0" fontId="2" fillId="7" borderId="14" xfId="0" applyFont="1" applyFill="1" applyBorder="1" applyAlignment="1">
      <alignment/>
    </xf>
    <xf numFmtId="0" fontId="1" fillId="0" borderId="0" xfId="0" applyFont="1" applyBorder="1" applyAlignment="1">
      <alignment horizontal="left" vertical="center" wrapText="1"/>
    </xf>
    <xf numFmtId="49" fontId="1" fillId="33" borderId="0" xfId="0" applyNumberFormat="1" applyFont="1" applyFill="1" applyBorder="1" applyAlignment="1">
      <alignment horizontal="left" vertical="center" wrapText="1"/>
    </xf>
    <xf numFmtId="0" fontId="1" fillId="33" borderId="0" xfId="0" applyFont="1" applyFill="1" applyBorder="1" applyAlignment="1">
      <alignment horizontal="center" vertical="top" wrapText="1"/>
    </xf>
    <xf numFmtId="49" fontId="1" fillId="33" borderId="0" xfId="0" applyNumberFormat="1" applyFont="1" applyFill="1" applyBorder="1" applyAlignment="1">
      <alignment horizontal="left" vertical="top" wrapText="1"/>
    </xf>
    <xf numFmtId="0" fontId="2" fillId="33" borderId="0" xfId="0" applyFont="1" applyFill="1" applyBorder="1" applyAlignment="1">
      <alignment/>
    </xf>
    <xf numFmtId="0" fontId="1" fillId="33" borderId="0" xfId="0" applyFont="1" applyFill="1" applyBorder="1" applyAlignment="1">
      <alignment horizontal="left" vertical="center" wrapText="1"/>
    </xf>
    <xf numFmtId="0" fontId="2" fillId="33" borderId="0" xfId="0" applyFont="1" applyFill="1" applyBorder="1" applyAlignment="1">
      <alignment horizontal="center" vertical="top" wrapText="1"/>
    </xf>
    <xf numFmtId="0" fontId="1" fillId="33" borderId="0" xfId="0" applyFont="1" applyFill="1" applyBorder="1" applyAlignment="1">
      <alignment horizontal="left" vertical="center"/>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1" fillId="33" borderId="18" xfId="0" applyFont="1" applyFill="1" applyBorder="1" applyAlignment="1">
      <alignment horizontal="center" vertical="center"/>
    </xf>
    <xf numFmtId="0" fontId="1" fillId="33" borderId="12" xfId="0" applyFont="1" applyFill="1" applyBorder="1" applyAlignment="1">
      <alignment horizontal="center" vertical="center"/>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top" wrapText="1"/>
    </xf>
    <xf numFmtId="49" fontId="1" fillId="0" borderId="0" xfId="0" applyNumberFormat="1" applyFont="1" applyFill="1" applyAlignment="1">
      <alignment wrapText="1"/>
    </xf>
    <xf numFmtId="3" fontId="2" fillId="33"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8" xfId="0" applyFont="1" applyFill="1" applyBorder="1" applyAlignment="1">
      <alignment horizontal="center" vertical="top" wrapText="1"/>
    </xf>
    <xf numFmtId="0" fontId="2" fillId="0" borderId="18" xfId="0" applyFont="1" applyFill="1" applyBorder="1" applyAlignment="1">
      <alignment vertical="center" wrapText="1"/>
    </xf>
    <xf numFmtId="49" fontId="2" fillId="33" borderId="18"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1" fillId="33" borderId="24" xfId="0" applyFont="1" applyFill="1" applyBorder="1" applyAlignment="1">
      <alignment horizontal="center" vertical="top" wrapText="1"/>
    </xf>
    <xf numFmtId="3" fontId="2" fillId="35" borderId="10" xfId="0" applyNumberFormat="1" applyFont="1" applyFill="1" applyBorder="1" applyAlignment="1">
      <alignment horizontal="center" vertical="center" wrapText="1"/>
    </xf>
    <xf numFmtId="3" fontId="2" fillId="35"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xf>
    <xf numFmtId="49" fontId="2" fillId="33"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2" fillId="0" borderId="10" xfId="0" applyFont="1" applyFill="1" applyBorder="1" applyAlignment="1">
      <alignment horizontal="center"/>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1" fillId="33" borderId="18" xfId="0" applyFont="1" applyFill="1" applyBorder="1" applyAlignment="1">
      <alignment horizontal="center" vertical="center"/>
    </xf>
    <xf numFmtId="3" fontId="5" fillId="0"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3" fontId="2" fillId="36" borderId="10" xfId="0" applyNumberFormat="1" applyFont="1" applyFill="1" applyBorder="1" applyAlignment="1">
      <alignment horizontal="center" vertical="center" wrapText="1"/>
    </xf>
    <xf numFmtId="0" fontId="1" fillId="33" borderId="18" xfId="0" applyFont="1" applyFill="1" applyBorder="1" applyAlignment="1">
      <alignment horizontal="center" vertical="center"/>
    </xf>
    <xf numFmtId="49" fontId="2" fillId="33" borderId="12" xfId="0" applyNumberFormat="1" applyFont="1" applyFill="1" applyBorder="1" applyAlignment="1">
      <alignment horizontal="center" vertical="center" wrapText="1"/>
    </xf>
    <xf numFmtId="0" fontId="2" fillId="7" borderId="14" xfId="0" applyFont="1" applyFill="1" applyBorder="1" applyAlignment="1">
      <alignment horizontal="center" vertical="center" wrapText="1"/>
    </xf>
    <xf numFmtId="3" fontId="2" fillId="0" borderId="14" xfId="0" applyNumberFormat="1" applyFont="1" applyBorder="1" applyAlignment="1">
      <alignment horizontal="center" vertical="center"/>
    </xf>
    <xf numFmtId="3" fontId="1" fillId="33" borderId="14" xfId="0" applyNumberFormat="1" applyFont="1" applyFill="1" applyBorder="1" applyAlignment="1">
      <alignment horizontal="center" vertical="center" wrapText="1"/>
    </xf>
    <xf numFmtId="3" fontId="2" fillId="33" borderId="14" xfId="0" applyNumberFormat="1" applyFont="1" applyFill="1" applyBorder="1" applyAlignment="1">
      <alignment horizontal="center" vertical="center" wrapText="1"/>
    </xf>
    <xf numFmtId="0" fontId="2" fillId="0" borderId="14" xfId="0" applyFont="1" applyBorder="1" applyAlignment="1">
      <alignment/>
    </xf>
    <xf numFmtId="3" fontId="5" fillId="0" borderId="14" xfId="0" applyNumberFormat="1" applyFont="1" applyBorder="1" applyAlignment="1">
      <alignment horizontal="center" vertical="center"/>
    </xf>
    <xf numFmtId="3" fontId="2" fillId="33" borderId="14"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3" fontId="1" fillId="33" borderId="23" xfId="0" applyNumberFormat="1" applyFont="1" applyFill="1" applyBorder="1" applyAlignment="1">
      <alignment horizontal="center" vertical="center" wrapText="1"/>
    </xf>
    <xf numFmtId="3" fontId="10" fillId="33" borderId="14" xfId="0" applyNumberFormat="1" applyFont="1" applyFill="1" applyBorder="1" applyAlignment="1">
      <alignment horizontal="center" vertical="center" wrapText="1"/>
    </xf>
    <xf numFmtId="3" fontId="10" fillId="33" borderId="23" xfId="0" applyNumberFormat="1" applyFont="1" applyFill="1" applyBorder="1" applyAlignment="1">
      <alignment horizontal="center" vertical="center" wrapText="1"/>
    </xf>
    <xf numFmtId="3" fontId="8" fillId="33" borderId="14" xfId="0" applyNumberFormat="1" applyFont="1" applyFill="1" applyBorder="1" applyAlignment="1">
      <alignment horizontal="center" vertical="center" wrapText="1"/>
    </xf>
    <xf numFmtId="3" fontId="10" fillId="33" borderId="14"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wrapText="1"/>
    </xf>
    <xf numFmtId="3" fontId="11" fillId="33" borderId="10" xfId="0" applyNumberFormat="1" applyFont="1" applyFill="1" applyBorder="1" applyAlignment="1">
      <alignment horizontal="center" vertical="center" wrapText="1"/>
    </xf>
    <xf numFmtId="0" fontId="17" fillId="0" borderId="10" xfId="0" applyFont="1" applyBorder="1" applyAlignment="1">
      <alignment horizontal="center"/>
    </xf>
    <xf numFmtId="3" fontId="11" fillId="33" borderId="10" xfId="0" applyNumberFormat="1" applyFont="1" applyFill="1" applyBorder="1" applyAlignment="1">
      <alignment horizontal="center" vertical="center" wrapText="1"/>
    </xf>
    <xf numFmtId="3" fontId="17" fillId="0" borderId="10" xfId="0" applyNumberFormat="1" applyFont="1" applyBorder="1" applyAlignment="1">
      <alignment horizontal="center" vertical="center"/>
    </xf>
    <xf numFmtId="3" fontId="60"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11" fillId="0" borderId="10" xfId="0" applyNumberFormat="1" applyFont="1" applyBorder="1" applyAlignment="1">
      <alignment horizontal="center" vertical="center"/>
    </xf>
    <xf numFmtId="3" fontId="61" fillId="0" borderId="10" xfId="0" applyNumberFormat="1" applyFont="1" applyBorder="1" applyAlignment="1">
      <alignment horizontal="center" vertical="center"/>
    </xf>
    <xf numFmtId="0" fontId="19" fillId="0" borderId="10" xfId="0" applyFont="1" applyBorder="1" applyAlignment="1">
      <alignment horizontal="center" vertical="center"/>
    </xf>
    <xf numFmtId="3" fontId="19" fillId="0" borderId="10"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7" fillId="0" borderId="10" xfId="0" applyNumberFormat="1" applyFont="1" applyBorder="1" applyAlignment="1">
      <alignment horizontal="center" vertical="center"/>
    </xf>
    <xf numFmtId="3" fontId="7" fillId="33" borderId="12" xfId="0" applyNumberFormat="1" applyFont="1" applyFill="1" applyBorder="1" applyAlignment="1">
      <alignment horizontal="center" vertical="center" wrapText="1"/>
    </xf>
    <xf numFmtId="3" fontId="7" fillId="33" borderId="10" xfId="0" applyNumberFormat="1" applyFont="1" applyFill="1" applyBorder="1" applyAlignment="1">
      <alignment horizontal="center" vertical="center"/>
    </xf>
    <xf numFmtId="0" fontId="2" fillId="33" borderId="18" xfId="0" applyFont="1" applyFill="1" applyBorder="1" applyAlignment="1">
      <alignment horizontal="center" vertical="top" wrapText="1"/>
    </xf>
    <xf numFmtId="0" fontId="2" fillId="33" borderId="12" xfId="0" applyFont="1" applyFill="1" applyBorder="1" applyAlignment="1">
      <alignment horizontal="center" vertical="top" wrapText="1"/>
    </xf>
    <xf numFmtId="49" fontId="2" fillId="33" borderId="11" xfId="0" applyNumberFormat="1" applyFont="1" applyFill="1" applyBorder="1" applyAlignment="1">
      <alignment horizontal="center" vertical="center" wrapText="1"/>
    </xf>
    <xf numFmtId="3" fontId="2" fillId="3" borderId="10" xfId="0" applyNumberFormat="1" applyFont="1" applyFill="1" applyBorder="1" applyAlignment="1">
      <alignment horizontal="center" vertical="center"/>
    </xf>
    <xf numFmtId="0" fontId="1" fillId="0" borderId="0" xfId="0" applyFont="1" applyBorder="1" applyAlignment="1">
      <alignment/>
    </xf>
    <xf numFmtId="3" fontId="1" fillId="0" borderId="0" xfId="0" applyNumberFormat="1" applyFont="1" applyBorder="1" applyAlignment="1">
      <alignment/>
    </xf>
    <xf numFmtId="0" fontId="9" fillId="33" borderId="20" xfId="0" applyFont="1" applyFill="1" applyBorder="1" applyAlignment="1">
      <alignment horizontal="left" vertical="center" wrapText="1"/>
    </xf>
    <xf numFmtId="0" fontId="9" fillId="33" borderId="24" xfId="0" applyFont="1" applyFill="1" applyBorder="1" applyAlignment="1">
      <alignment horizontal="left" vertical="center" wrapText="1"/>
    </xf>
    <xf numFmtId="0" fontId="9" fillId="33" borderId="23"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19"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1" fillId="33" borderId="11" xfId="0" applyFont="1" applyFill="1" applyBorder="1" applyAlignment="1">
      <alignment horizontal="center" vertical="top" wrapText="1"/>
    </xf>
    <xf numFmtId="0" fontId="1" fillId="33" borderId="18"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1"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2" xfId="0" applyFont="1" applyFill="1" applyBorder="1" applyAlignment="1">
      <alignment horizontal="center" vertical="center"/>
    </xf>
    <xf numFmtId="0" fontId="2" fillId="33" borderId="21"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17" xfId="0" applyFont="1" applyFill="1" applyBorder="1" applyAlignment="1">
      <alignment horizontal="left" vertical="top" wrapText="1"/>
    </xf>
    <xf numFmtId="0" fontId="1" fillId="33" borderId="14" xfId="0" applyFont="1" applyFill="1" applyBorder="1" applyAlignment="1">
      <alignment horizontal="left" vertical="top" wrapText="1"/>
    </xf>
    <xf numFmtId="0" fontId="1" fillId="33" borderId="13" xfId="0" applyFont="1" applyFill="1" applyBorder="1" applyAlignment="1">
      <alignment horizontal="left" vertical="top" wrapText="1"/>
    </xf>
    <xf numFmtId="0" fontId="2" fillId="33" borderId="21"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7"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4" xfId="0"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49" fontId="1" fillId="33" borderId="13" xfId="0" applyNumberFormat="1" applyFont="1" applyFill="1" applyBorder="1" applyAlignment="1">
      <alignment horizontal="left" vertical="center" wrapText="1"/>
    </xf>
    <xf numFmtId="0" fontId="16" fillId="0" borderId="0" xfId="33" applyFont="1" applyFill="1" applyAlignment="1">
      <alignment horizontal="center" vertical="top"/>
      <protection/>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7" borderId="10" xfId="0" applyFont="1" applyFill="1" applyBorder="1" applyAlignment="1">
      <alignment horizontal="center" vertical="center" wrapText="1"/>
    </xf>
    <xf numFmtId="0" fontId="2" fillId="7" borderId="10" xfId="0" applyFont="1" applyFill="1"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49" fontId="2" fillId="33" borderId="18" xfId="0" applyNumberFormat="1" applyFont="1" applyFill="1" applyBorder="1" applyAlignment="1">
      <alignment horizontal="center" vertical="center" wrapText="1"/>
    </xf>
    <xf numFmtId="0" fontId="2" fillId="33" borderId="18" xfId="0" applyFont="1" applyFill="1" applyBorder="1" applyAlignment="1">
      <alignment horizontal="center" vertical="top" wrapText="1"/>
    </xf>
    <xf numFmtId="49" fontId="2" fillId="33" borderId="11"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1" fillId="33" borderId="23"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17" xfId="0" applyFont="1" applyFill="1" applyBorder="1" applyAlignment="1">
      <alignment horizontal="center" vertical="top" wrapText="1"/>
    </xf>
    <xf numFmtId="0" fontId="1" fillId="33" borderId="14" xfId="0" applyFont="1" applyFill="1" applyBorder="1" applyAlignment="1">
      <alignment horizontal="left" vertical="center" wrapText="1"/>
    </xf>
    <xf numFmtId="0" fontId="1" fillId="33" borderId="13" xfId="0" applyFont="1" applyFill="1" applyBorder="1" applyAlignment="1">
      <alignment horizontal="left" vertical="center" wrapText="1"/>
    </xf>
    <xf numFmtId="0" fontId="1" fillId="33" borderId="14"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6" xfId="0" applyFont="1" applyFill="1" applyBorder="1" applyAlignment="1">
      <alignment horizontal="center" vertical="center"/>
    </xf>
    <xf numFmtId="0" fontId="2" fillId="33" borderId="14"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6" fillId="33" borderId="14" xfId="43" applyFont="1" applyFill="1" applyBorder="1" applyAlignment="1" applyProtection="1">
      <alignment horizontal="center" vertical="center" wrapText="1"/>
      <protection/>
    </xf>
    <xf numFmtId="0" fontId="6" fillId="33" borderId="13" xfId="43" applyFont="1" applyFill="1" applyBorder="1" applyAlignment="1" applyProtection="1">
      <alignment horizontal="center" vertical="center" wrapText="1"/>
      <protection/>
    </xf>
    <xf numFmtId="0" fontId="6" fillId="33" borderId="16" xfId="43" applyFont="1" applyFill="1" applyBorder="1" applyAlignment="1" applyProtection="1">
      <alignment horizontal="center" vertical="center" wrapText="1"/>
      <protection/>
    </xf>
    <xf numFmtId="0" fontId="2" fillId="33" borderId="14"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6" xfId="0" applyFont="1" applyFill="1" applyBorder="1" applyAlignment="1">
      <alignment horizontal="left" vertical="top" wrapText="1"/>
    </xf>
    <xf numFmtId="0" fontId="1" fillId="33" borderId="21" xfId="0" applyFont="1" applyFill="1" applyBorder="1" applyAlignment="1">
      <alignment horizontal="center" wrapText="1"/>
    </xf>
    <xf numFmtId="0" fontId="1" fillId="33" borderId="22" xfId="0" applyFont="1" applyFill="1" applyBorder="1" applyAlignment="1">
      <alignment horizontal="center" wrapText="1"/>
    </xf>
    <xf numFmtId="0" fontId="1" fillId="33" borderId="14" xfId="0" applyFont="1" applyFill="1" applyBorder="1" applyAlignment="1">
      <alignment horizontal="left" vertical="top"/>
    </xf>
    <xf numFmtId="0" fontId="1" fillId="33" borderId="13" xfId="0" applyFont="1" applyFill="1" applyBorder="1" applyAlignment="1">
      <alignment horizontal="left" vertical="top"/>
    </xf>
    <xf numFmtId="0" fontId="1" fillId="33" borderId="16" xfId="0" applyFont="1" applyFill="1" applyBorder="1" applyAlignment="1">
      <alignment horizontal="left" vertical="top"/>
    </xf>
    <xf numFmtId="0" fontId="9" fillId="33" borderId="20" xfId="0" applyFont="1" applyFill="1" applyBorder="1" applyAlignment="1">
      <alignment horizontal="left" vertical="top" wrapText="1"/>
    </xf>
    <xf numFmtId="0" fontId="9" fillId="33" borderId="24" xfId="0" applyFont="1" applyFill="1" applyBorder="1" applyAlignment="1">
      <alignment horizontal="left" vertical="top" wrapText="1"/>
    </xf>
    <xf numFmtId="0" fontId="7" fillId="33" borderId="17" xfId="0" applyFont="1" applyFill="1" applyBorder="1" applyAlignment="1">
      <alignment horizontal="center" vertical="top" wrapText="1"/>
    </xf>
    <xf numFmtId="0" fontId="7" fillId="33" borderId="12" xfId="0" applyFont="1" applyFill="1" applyBorder="1" applyAlignment="1">
      <alignment horizontal="center" vertical="top"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1" fillId="33" borderId="10" xfId="0" applyFont="1" applyFill="1" applyBorder="1" applyAlignment="1">
      <alignment horizontal="center" vertical="top"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2" fillId="7" borderId="19" xfId="0" applyFont="1" applyFill="1" applyBorder="1" applyAlignment="1">
      <alignment/>
    </xf>
    <xf numFmtId="0" fontId="2" fillId="7" borderId="23" xfId="0" applyFont="1" applyFill="1" applyBorder="1" applyAlignment="1">
      <alignment/>
    </xf>
    <xf numFmtId="0" fontId="2" fillId="7" borderId="15" xfId="0" applyFont="1" applyFill="1" applyBorder="1" applyAlignment="1">
      <alignment/>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1" fillId="33" borderId="21"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9" fillId="33" borderId="14"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21"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20" xfId="0" applyFont="1" applyFill="1" applyBorder="1" applyAlignment="1">
      <alignment horizontal="left" vertical="top" wrapText="1"/>
    </xf>
    <xf numFmtId="0" fontId="9" fillId="33" borderId="0" xfId="0" applyFont="1" applyFill="1" applyBorder="1" applyAlignment="1">
      <alignment horizontal="left" vertical="top" wrapText="1"/>
    </xf>
    <xf numFmtId="0" fontId="1" fillId="33" borderId="20" xfId="0" applyFont="1" applyFill="1" applyBorder="1" applyAlignment="1">
      <alignment horizontal="left" wrapText="1"/>
    </xf>
    <xf numFmtId="0" fontId="1" fillId="33" borderId="0" xfId="0" applyFont="1" applyFill="1" applyBorder="1" applyAlignment="1">
      <alignment horizontal="left" wrapText="1"/>
    </xf>
    <xf numFmtId="0" fontId="9" fillId="0" borderId="13"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4" xfId="0" applyFont="1" applyFill="1" applyBorder="1" applyAlignment="1">
      <alignment horizontal="left" vertical="top" wrapText="1"/>
    </xf>
    <xf numFmtId="49" fontId="9" fillId="33" borderId="10" xfId="0" applyNumberFormat="1" applyFont="1" applyFill="1" applyBorder="1" applyAlignment="1">
      <alignment horizontal="left" vertical="top" wrapText="1"/>
    </xf>
    <xf numFmtId="49" fontId="9" fillId="33" borderId="14" xfId="0" applyNumberFormat="1" applyFont="1" applyFill="1" applyBorder="1" applyAlignment="1">
      <alignment horizontal="left" vertical="center" wrapText="1"/>
    </xf>
    <xf numFmtId="49" fontId="9" fillId="33" borderId="16" xfId="0" applyNumberFormat="1" applyFont="1" applyFill="1" applyBorder="1" applyAlignment="1">
      <alignment horizontal="left" vertical="center" wrapText="1"/>
    </xf>
    <xf numFmtId="0" fontId="2" fillId="7" borderId="22" xfId="0" applyFont="1" applyFill="1" applyBorder="1" applyAlignment="1">
      <alignment/>
    </xf>
    <xf numFmtId="0" fontId="2" fillId="7" borderId="20" xfId="0" applyFont="1" applyFill="1" applyBorder="1" applyAlignment="1">
      <alignment/>
    </xf>
    <xf numFmtId="0" fontId="2" fillId="7" borderId="24" xfId="0" applyFont="1" applyFill="1" applyBorder="1" applyAlignment="1">
      <alignment/>
    </xf>
    <xf numFmtId="0" fontId="6" fillId="33" borderId="12" xfId="43" applyFont="1" applyFill="1" applyBorder="1" applyAlignment="1" applyProtection="1">
      <alignment horizontal="left" vertical="center" wrapText="1"/>
      <protection/>
    </xf>
    <xf numFmtId="0" fontId="1" fillId="7" borderId="14"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6" borderId="20" xfId="0" applyFont="1" applyFill="1" applyBorder="1" applyAlignment="1">
      <alignment horizontal="left" wrapText="1"/>
    </xf>
    <xf numFmtId="0" fontId="1" fillId="6" borderId="0" xfId="0" applyFont="1" applyFill="1" applyBorder="1" applyAlignment="1">
      <alignment horizontal="left" wrapText="1"/>
    </xf>
    <xf numFmtId="0" fontId="9" fillId="33" borderId="15" xfId="0" applyFont="1" applyFill="1" applyBorder="1" applyAlignment="1">
      <alignment horizontal="left" vertical="top" wrapText="1"/>
    </xf>
    <xf numFmtId="0" fontId="9" fillId="33" borderId="14"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6" fillId="33" borderId="10" xfId="43" applyFont="1" applyFill="1" applyBorder="1" applyAlignment="1" applyProtection="1">
      <alignment horizontal="left" vertical="center" wrapText="1"/>
      <protection/>
    </xf>
    <xf numFmtId="49" fontId="13" fillId="33" borderId="12" xfId="0" applyNumberFormat="1" applyFont="1" applyFill="1" applyBorder="1" applyAlignment="1">
      <alignment horizontal="center"/>
    </xf>
    <xf numFmtId="0" fontId="10" fillId="33" borderId="10" xfId="0" applyFont="1" applyFill="1" applyBorder="1" applyAlignment="1">
      <alignment horizontal="center" vertical="top" wrapText="1"/>
    </xf>
    <xf numFmtId="0" fontId="1" fillId="33" borderId="10" xfId="0" applyFont="1" applyFill="1" applyBorder="1" applyAlignment="1">
      <alignment horizontal="left" vertical="top"/>
    </xf>
    <xf numFmtId="49" fontId="13" fillId="33" borderId="10" xfId="0" applyNumberFormat="1" applyFont="1" applyFill="1" applyBorder="1" applyAlignment="1">
      <alignment horizontal="center"/>
    </xf>
    <xf numFmtId="0" fontId="10" fillId="33" borderId="20" xfId="0" applyFont="1" applyFill="1" applyBorder="1" applyAlignment="1">
      <alignment horizontal="left"/>
    </xf>
    <xf numFmtId="0" fontId="10" fillId="33" borderId="0" xfId="0" applyFont="1" applyFill="1" applyBorder="1" applyAlignment="1">
      <alignment horizontal="left"/>
    </xf>
    <xf numFmtId="0" fontId="9" fillId="33" borderId="24"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22" xfId="0" applyFont="1" applyFill="1" applyBorder="1" applyAlignment="1">
      <alignment horizontal="left" vertical="top" wrapText="1"/>
    </xf>
    <xf numFmtId="0" fontId="1" fillId="0" borderId="0" xfId="0" applyFont="1" applyAlignment="1">
      <alignment horizontal="center"/>
    </xf>
    <xf numFmtId="0" fontId="1" fillId="0" borderId="0" xfId="0" applyFont="1" applyFill="1" applyAlignment="1">
      <alignment horizontal="center" wrapText="1"/>
    </xf>
    <xf numFmtId="0" fontId="1" fillId="0" borderId="0" xfId="0" applyFont="1" applyFill="1" applyAlignment="1">
      <alignment horizontal="left" wrapText="1"/>
    </xf>
    <xf numFmtId="0" fontId="2"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37" borderId="15" xfId="0" applyFont="1" applyFill="1" applyBorder="1" applyAlignment="1">
      <alignment horizontal="left" vertical="top" wrapText="1"/>
    </xf>
    <xf numFmtId="0" fontId="1" fillId="33" borderId="22" xfId="0" applyFont="1" applyFill="1" applyBorder="1" applyAlignment="1">
      <alignment horizontal="center" vertical="top" wrapText="1"/>
    </xf>
    <xf numFmtId="0" fontId="1" fillId="33" borderId="24" xfId="0" applyFont="1" applyFill="1" applyBorder="1" applyAlignment="1">
      <alignment horizontal="center" vertical="top"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4" xfId="0" applyFont="1" applyBorder="1" applyAlignment="1">
      <alignment horizontal="left" vertical="center" wrapText="1"/>
    </xf>
    <xf numFmtId="0" fontId="9" fillId="0" borderId="20" xfId="0" applyFont="1" applyBorder="1" applyAlignment="1">
      <alignment horizontal="left" vertical="top" wrapText="1"/>
    </xf>
    <xf numFmtId="0" fontId="9" fillId="0" borderId="24" xfId="0" applyFont="1" applyBorder="1" applyAlignment="1">
      <alignment horizontal="left" vertical="top" wrapText="1"/>
    </xf>
    <xf numFmtId="0" fontId="6" fillId="0" borderId="23" xfId="43" applyFont="1" applyFill="1" applyBorder="1" applyAlignment="1" applyProtection="1">
      <alignment horizontal="left" vertical="center" wrapText="1"/>
      <protection/>
    </xf>
    <xf numFmtId="0" fontId="6" fillId="0" borderId="15" xfId="43" applyFont="1" applyFill="1" applyBorder="1" applyAlignment="1" applyProtection="1">
      <alignment horizontal="left" vertical="center" wrapText="1"/>
      <protection/>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6" fillId="33" borderId="17" xfId="43" applyFont="1" applyFill="1" applyBorder="1" applyAlignment="1" applyProtection="1">
      <alignment horizontal="left" vertical="center" wrapText="1"/>
      <protection/>
    </xf>
    <xf numFmtId="0" fontId="2" fillId="33" borderId="10" xfId="0" applyFont="1" applyFill="1" applyBorder="1" applyAlignment="1">
      <alignment horizontal="center" vertical="top" wrapText="1"/>
    </xf>
    <xf numFmtId="0" fontId="2" fillId="33" borderId="11" xfId="0" applyFont="1" applyFill="1" applyBorder="1" applyAlignment="1">
      <alignment horizontal="center"/>
    </xf>
    <xf numFmtId="0" fontId="2" fillId="33" borderId="12" xfId="0" applyFont="1" applyFill="1" applyBorder="1" applyAlignment="1">
      <alignment horizontal="center"/>
    </xf>
    <xf numFmtId="0" fontId="2" fillId="33" borderId="10" xfId="0" applyFont="1" applyFill="1" applyBorder="1" applyAlignment="1">
      <alignment horizontal="left" vertical="center" wrapText="1"/>
    </xf>
    <xf numFmtId="0" fontId="1" fillId="33" borderId="14"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16" xfId="0" applyFont="1" applyFill="1" applyBorder="1" applyAlignment="1">
      <alignment horizontal="center" vertical="top" wrapText="1"/>
    </xf>
    <xf numFmtId="0" fontId="2" fillId="0" borderId="0" xfId="0" applyFont="1" applyAlignment="1">
      <alignment horizontal="right"/>
    </xf>
    <xf numFmtId="0" fontId="7" fillId="33" borderId="16" xfId="0" applyFont="1" applyFill="1" applyBorder="1" applyAlignment="1">
      <alignment horizontal="center" vertical="top" wrapText="1"/>
    </xf>
    <xf numFmtId="0" fontId="7" fillId="33" borderId="10"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6" fillId="33" borderId="15" xfId="43" applyFont="1" applyFill="1" applyBorder="1" applyAlignment="1" applyProtection="1">
      <alignment horizontal="left" vertical="center" wrapText="1"/>
      <protection/>
    </xf>
    <xf numFmtId="0" fontId="1" fillId="0" borderId="21"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24" xfId="0" applyFont="1" applyFill="1" applyBorder="1" applyAlignment="1">
      <alignment horizontal="center" vertical="top" wrapText="1"/>
    </xf>
    <xf numFmtId="0" fontId="9" fillId="33" borderId="20" xfId="0" applyFont="1" applyFill="1" applyBorder="1" applyAlignment="1">
      <alignment horizontal="left" wrapText="1"/>
    </xf>
    <xf numFmtId="0" fontId="9" fillId="33" borderId="24" xfId="0" applyFont="1" applyFill="1" applyBorder="1" applyAlignment="1">
      <alignment horizontal="left" wrapText="1"/>
    </xf>
    <xf numFmtId="0" fontId="9" fillId="33" borderId="23" xfId="0" applyFont="1" applyFill="1" applyBorder="1" applyAlignment="1">
      <alignment horizontal="left" wrapText="1"/>
    </xf>
    <xf numFmtId="0" fontId="9" fillId="33" borderId="17" xfId="0" applyFont="1" applyFill="1" applyBorder="1" applyAlignment="1">
      <alignment horizontal="left" wrapText="1"/>
    </xf>
    <xf numFmtId="0" fontId="1" fillId="4" borderId="10" xfId="0" applyFont="1" applyFill="1" applyBorder="1" applyAlignment="1">
      <alignment horizontal="left" wrapText="1"/>
    </xf>
    <xf numFmtId="49" fontId="1" fillId="33" borderId="23" xfId="0" applyNumberFormat="1" applyFont="1" applyFill="1" applyBorder="1" applyAlignment="1">
      <alignment horizontal="left" vertical="top" wrapText="1"/>
    </xf>
    <xf numFmtId="49" fontId="1" fillId="33" borderId="15" xfId="0" applyNumberFormat="1" applyFont="1" applyFill="1" applyBorder="1" applyAlignment="1">
      <alignment horizontal="left" vertical="top"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7" borderId="17" xfId="0" applyFont="1" applyFill="1" applyBorder="1" applyAlignment="1">
      <alignment/>
    </xf>
    <xf numFmtId="0" fontId="1" fillId="7" borderId="23"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2" fillId="7" borderId="0" xfId="0" applyFont="1" applyFill="1" applyBorder="1" applyAlignment="1">
      <alignment/>
    </xf>
    <xf numFmtId="0" fontId="1" fillId="38" borderId="14" xfId="0" applyFont="1" applyFill="1" applyBorder="1" applyAlignment="1">
      <alignment horizontal="center" vertical="center"/>
    </xf>
    <xf numFmtId="0" fontId="1" fillId="38" borderId="13" xfId="0" applyFont="1" applyFill="1" applyBorder="1" applyAlignment="1">
      <alignment horizontal="center" vertical="center"/>
    </xf>
    <xf numFmtId="0" fontId="2" fillId="38" borderId="14" xfId="0" applyFont="1" applyFill="1" applyBorder="1" applyAlignment="1">
      <alignment horizontal="center"/>
    </xf>
    <xf numFmtId="0" fontId="2" fillId="38" borderId="13" xfId="0" applyFont="1" applyFill="1" applyBorder="1" applyAlignment="1">
      <alignment horizontal="center"/>
    </xf>
    <xf numFmtId="0" fontId="1" fillId="33" borderId="21"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3" xfId="0" applyFont="1" applyFill="1" applyBorder="1" applyAlignment="1">
      <alignment horizontal="left" vertical="center"/>
    </xf>
    <xf numFmtId="0" fontId="1" fillId="33" borderId="16" xfId="0" applyFont="1" applyFill="1" applyBorder="1" applyAlignment="1">
      <alignment horizontal="left" vertical="center"/>
    </xf>
    <xf numFmtId="3" fontId="2" fillId="35" borderId="11" xfId="0" applyNumberFormat="1" applyFont="1" applyFill="1" applyBorder="1" applyAlignment="1">
      <alignment horizontal="center" vertical="center" wrapText="1"/>
    </xf>
    <xf numFmtId="3" fontId="2" fillId="35" borderId="12" xfId="0" applyNumberFormat="1" applyFont="1" applyFill="1" applyBorder="1" applyAlignment="1">
      <alignment horizontal="center" vertical="center" wrapText="1"/>
    </xf>
    <xf numFmtId="0" fontId="2" fillId="33" borderId="10" xfId="0" applyFont="1" applyFill="1" applyBorder="1" applyAlignment="1">
      <alignment horizontal="left" vertical="top" wrapText="1"/>
    </xf>
    <xf numFmtId="0" fontId="1" fillId="4" borderId="23" xfId="0" applyFont="1" applyFill="1" applyBorder="1" applyAlignment="1">
      <alignment horizontal="left" wrapText="1"/>
    </xf>
    <xf numFmtId="0" fontId="1" fillId="4" borderId="15" xfId="0" applyFont="1" applyFill="1" applyBorder="1" applyAlignment="1">
      <alignment horizontal="left"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2" fillId="33" borderId="19" xfId="0" applyFont="1" applyFill="1" applyBorder="1" applyAlignment="1">
      <alignment horizontal="center" vertical="top" wrapText="1"/>
    </xf>
    <xf numFmtId="3" fontId="2" fillId="33" borderId="11" xfId="0" applyNumberFormat="1" applyFont="1" applyFill="1" applyBorder="1" applyAlignment="1">
      <alignment horizontal="center" vertical="center"/>
    </xf>
    <xf numFmtId="3" fontId="2" fillId="33" borderId="18" xfId="0" applyNumberFormat="1" applyFont="1" applyFill="1" applyBorder="1" applyAlignment="1">
      <alignment horizontal="center" vertical="center"/>
    </xf>
    <xf numFmtId="3" fontId="2" fillId="33" borderId="12"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3" fontId="2" fillId="0" borderId="12"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tyana.kudina\AppData\Local\Microsoft\Windows\Temporary%20Internet%20Files\Content.Outlook\Y5DNPWD8\CBA%20III_BdgtPurpose_2017AWP_IntReport%201_2_3YB_9MNT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 Budget of the Action"/>
      <sheetName val="V-B. Sources of Funding"/>
    </sheetNames>
    <sheetDataSet>
      <sheetData sheetId="0">
        <row r="36">
          <cell r="T36">
            <v>348</v>
          </cell>
        </row>
        <row r="37">
          <cell r="T37">
            <v>4774.27</v>
          </cell>
        </row>
        <row r="38">
          <cell r="T38">
            <v>7833.197899999999</v>
          </cell>
        </row>
        <row r="39">
          <cell r="T39">
            <v>35000</v>
          </cell>
        </row>
        <row r="43">
          <cell r="U43">
            <v>21496.46287458379</v>
          </cell>
        </row>
        <row r="44">
          <cell r="U44">
            <v>272153.5312985571</v>
          </cell>
        </row>
        <row r="46">
          <cell r="U46">
            <v>81700.88446170921</v>
          </cell>
        </row>
        <row r="52">
          <cell r="T52">
            <v>9089.575</v>
          </cell>
        </row>
        <row r="66">
          <cell r="T66">
            <v>64917.26</v>
          </cell>
        </row>
        <row r="67">
          <cell r="T6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5"/>
  <sheetViews>
    <sheetView tabSelected="1" zoomScalePageLayoutView="0" workbookViewId="0" topLeftCell="A159">
      <selection activeCell="K229" sqref="K229"/>
    </sheetView>
  </sheetViews>
  <sheetFormatPr defaultColWidth="9.140625" defaultRowHeight="12.75"/>
  <cols>
    <col min="1" max="1" width="13.28125" style="15" customWidth="1"/>
    <col min="2" max="2" width="18.140625" style="15" customWidth="1"/>
    <col min="3" max="3" width="10.8515625" style="15" customWidth="1"/>
    <col min="4" max="4" width="12.8515625" style="15" customWidth="1"/>
    <col min="5" max="5" width="4.7109375" style="15" customWidth="1"/>
    <col min="6" max="6" width="14.28125" style="15" customWidth="1"/>
    <col min="7" max="10" width="3.28125" style="15" customWidth="1"/>
    <col min="11" max="11" width="11.28125" style="15" customWidth="1"/>
    <col min="12" max="12" width="6.7109375" style="15" customWidth="1"/>
    <col min="13" max="13" width="6.8515625" style="15" customWidth="1"/>
    <col min="14" max="14" width="8.140625" style="15" customWidth="1"/>
    <col min="15" max="15" width="13.8515625" style="15" customWidth="1"/>
    <col min="16" max="16" width="10.140625" style="15" hidden="1" customWidth="1"/>
    <col min="17" max="17" width="12.00390625" style="15" hidden="1" customWidth="1"/>
    <col min="18" max="18" width="18.28125" style="15" hidden="1" customWidth="1"/>
    <col min="19" max="19" width="10.57421875" style="15" hidden="1" customWidth="1"/>
    <col min="20" max="20" width="10.8515625" style="15" hidden="1" customWidth="1"/>
    <col min="21" max="21" width="0" style="15" hidden="1" customWidth="1"/>
    <col min="22" max="16384" width="9.140625" style="15" customWidth="1"/>
  </cols>
  <sheetData>
    <row r="1" spans="1:16" ht="12.75">
      <c r="A1" s="403" t="s">
        <v>69</v>
      </c>
      <c r="B1" s="403"/>
      <c r="C1" s="403"/>
      <c r="D1" s="403"/>
      <c r="E1" s="403"/>
      <c r="F1" s="403"/>
      <c r="G1" s="403"/>
      <c r="H1" s="403"/>
      <c r="I1" s="403"/>
      <c r="J1" s="403"/>
      <c r="K1" s="403"/>
      <c r="L1" s="403"/>
      <c r="M1" s="403"/>
      <c r="N1" s="403"/>
      <c r="O1" s="403"/>
      <c r="P1" s="165"/>
    </row>
    <row r="2" spans="1:16" ht="6.75" customHeight="1">
      <c r="A2" s="403"/>
      <c r="B2" s="403"/>
      <c r="C2" s="403"/>
      <c r="D2" s="403"/>
      <c r="E2" s="403"/>
      <c r="F2" s="403"/>
      <c r="G2" s="403"/>
      <c r="H2" s="403"/>
      <c r="I2" s="403"/>
      <c r="J2" s="403"/>
      <c r="K2" s="403"/>
      <c r="L2" s="403"/>
      <c r="M2" s="403"/>
      <c r="N2" s="403"/>
      <c r="O2" s="403"/>
      <c r="P2" s="165"/>
    </row>
    <row r="3" spans="1:16" ht="11.25" customHeight="1">
      <c r="A3" s="405" t="s">
        <v>0</v>
      </c>
      <c r="B3" s="405"/>
      <c r="C3" s="185" t="s">
        <v>138</v>
      </c>
      <c r="D3" s="2"/>
      <c r="E3" s="2"/>
      <c r="F3" s="2"/>
      <c r="G3" s="2"/>
      <c r="H3" s="2"/>
      <c r="I3" s="2"/>
      <c r="J3" s="2"/>
      <c r="K3" s="1"/>
      <c r="L3" s="1"/>
      <c r="M3" s="1"/>
      <c r="N3" s="3"/>
      <c r="O3" s="3"/>
      <c r="P3" s="3"/>
    </row>
    <row r="4" spans="1:16" ht="11.25" customHeight="1">
      <c r="A4" s="405" t="s">
        <v>1</v>
      </c>
      <c r="B4" s="405"/>
      <c r="C4" s="3" t="s">
        <v>2</v>
      </c>
      <c r="D4" s="3"/>
      <c r="E4" s="3"/>
      <c r="F4" s="3"/>
      <c r="G4" s="3"/>
      <c r="H4" s="3"/>
      <c r="I4" s="3"/>
      <c r="J4" s="3"/>
      <c r="K4" s="1"/>
      <c r="L4" s="1"/>
      <c r="N4" s="39"/>
      <c r="O4" s="40"/>
      <c r="P4" s="40"/>
    </row>
    <row r="5" spans="1:16" ht="12" customHeight="1">
      <c r="A5" s="405" t="s">
        <v>3</v>
      </c>
      <c r="B5" s="405"/>
      <c r="C5" s="4" t="s">
        <v>70</v>
      </c>
      <c r="D5" s="4"/>
      <c r="E5" s="4"/>
      <c r="F5" s="4"/>
      <c r="G5" s="4"/>
      <c r="H5" s="4"/>
      <c r="I5" s="4"/>
      <c r="J5" s="4"/>
      <c r="K5" s="1"/>
      <c r="L5" s="1"/>
      <c r="M5" s="1"/>
      <c r="N5" s="3"/>
      <c r="O5" s="3"/>
      <c r="P5" s="3"/>
    </row>
    <row r="6" spans="1:16" ht="11.25" customHeight="1">
      <c r="A6" s="405" t="s">
        <v>28</v>
      </c>
      <c r="B6" s="405"/>
      <c r="C6" s="19" t="s">
        <v>112</v>
      </c>
      <c r="D6" s="4"/>
      <c r="E6" s="4"/>
      <c r="F6" s="4"/>
      <c r="G6" s="4"/>
      <c r="H6" s="4"/>
      <c r="I6" s="4"/>
      <c r="J6" s="4"/>
      <c r="K6" s="1"/>
      <c r="L6" s="1"/>
      <c r="M6" s="1"/>
      <c r="N6" s="3"/>
      <c r="O6" s="139"/>
      <c r="P6" s="139"/>
    </row>
    <row r="7" spans="1:16" ht="13.5" customHeight="1">
      <c r="A7" s="407" t="s">
        <v>4</v>
      </c>
      <c r="B7" s="407"/>
      <c r="C7" s="406" t="s">
        <v>5</v>
      </c>
      <c r="D7" s="406"/>
      <c r="E7" s="5"/>
      <c r="F7" s="5"/>
      <c r="G7" s="5"/>
      <c r="H7" s="5"/>
      <c r="I7" s="5"/>
      <c r="J7" s="5"/>
      <c r="K7" s="1"/>
      <c r="L7" s="1"/>
      <c r="M7" s="300" t="s">
        <v>167</v>
      </c>
      <c r="N7" s="300"/>
      <c r="O7" s="300"/>
      <c r="P7" s="140"/>
    </row>
    <row r="8" spans="1:16" ht="10.5" customHeight="1">
      <c r="A8" s="12"/>
      <c r="B8" s="12"/>
      <c r="C8" s="13"/>
      <c r="D8" s="13"/>
      <c r="E8" s="5"/>
      <c r="F8" s="5"/>
      <c r="G8" s="5"/>
      <c r="H8" s="5"/>
      <c r="I8" s="5"/>
      <c r="J8" s="5"/>
      <c r="K8" s="1"/>
      <c r="L8" s="404"/>
      <c r="M8" s="404"/>
      <c r="N8" s="404"/>
      <c r="O8" s="404"/>
      <c r="P8" s="166"/>
    </row>
    <row r="9" spans="1:17" ht="15" customHeight="1">
      <c r="A9" s="408" t="s">
        <v>101</v>
      </c>
      <c r="B9" s="408"/>
      <c r="C9" s="13"/>
      <c r="D9" s="13"/>
      <c r="E9" s="5"/>
      <c r="F9" s="5"/>
      <c r="G9" s="5"/>
      <c r="H9" s="5"/>
      <c r="I9" s="5"/>
      <c r="J9" s="5"/>
      <c r="K9" s="1"/>
      <c r="L9" s="1"/>
      <c r="M9" s="1"/>
      <c r="N9" s="3"/>
      <c r="O9" s="3"/>
      <c r="P9" s="3"/>
      <c r="Q9" s="38"/>
    </row>
    <row r="10" spans="1:21" ht="21" customHeight="1">
      <c r="A10" s="354" t="s">
        <v>113</v>
      </c>
      <c r="B10" s="381"/>
      <c r="C10" s="354" t="s">
        <v>114</v>
      </c>
      <c r="D10" s="355"/>
      <c r="E10" s="355"/>
      <c r="F10" s="355"/>
      <c r="G10" s="385" t="s">
        <v>6</v>
      </c>
      <c r="H10" s="386"/>
      <c r="I10" s="386"/>
      <c r="J10" s="387"/>
      <c r="K10" s="358" t="s">
        <v>7</v>
      </c>
      <c r="L10" s="309" t="s">
        <v>8</v>
      </c>
      <c r="M10" s="310"/>
      <c r="N10" s="310"/>
      <c r="O10" s="310"/>
      <c r="P10" s="167"/>
      <c r="Q10" s="459" t="s">
        <v>122</v>
      </c>
      <c r="R10" s="460"/>
      <c r="S10" s="227" t="s">
        <v>157</v>
      </c>
      <c r="T10" s="227" t="s">
        <v>158</v>
      </c>
      <c r="U10" s="234" t="s">
        <v>159</v>
      </c>
    </row>
    <row r="11" spans="1:21" ht="14.25" customHeight="1">
      <c r="A11" s="382"/>
      <c r="B11" s="383"/>
      <c r="C11" s="356"/>
      <c r="D11" s="357"/>
      <c r="E11" s="357"/>
      <c r="F11" s="357"/>
      <c r="G11" s="150" t="s">
        <v>9</v>
      </c>
      <c r="H11" s="150" t="s">
        <v>10</v>
      </c>
      <c r="I11" s="150" t="s">
        <v>11</v>
      </c>
      <c r="J11" s="150" t="s">
        <v>12</v>
      </c>
      <c r="K11" s="359"/>
      <c r="L11" s="94" t="s">
        <v>13</v>
      </c>
      <c r="M11" s="94" t="s">
        <v>14</v>
      </c>
      <c r="N11" s="94" t="s">
        <v>15</v>
      </c>
      <c r="O11" s="94" t="s">
        <v>61</v>
      </c>
      <c r="P11" s="94"/>
      <c r="Q11" s="94" t="s">
        <v>120</v>
      </c>
      <c r="R11" s="211" t="s">
        <v>121</v>
      </c>
      <c r="S11" s="229"/>
      <c r="T11" s="229"/>
      <c r="U11" s="235"/>
    </row>
    <row r="12" spans="1:21" s="16" customFormat="1" ht="15.75" customHeight="1">
      <c r="A12" s="411" t="s">
        <v>21</v>
      </c>
      <c r="B12" s="412"/>
      <c r="C12" s="307" t="s">
        <v>92</v>
      </c>
      <c r="D12" s="308"/>
      <c r="E12" s="308"/>
      <c r="F12" s="308"/>
      <c r="G12" s="308"/>
      <c r="H12" s="308"/>
      <c r="I12" s="308"/>
      <c r="J12" s="308"/>
      <c r="K12" s="308"/>
      <c r="L12" s="308"/>
      <c r="M12" s="308"/>
      <c r="N12" s="308"/>
      <c r="O12" s="308"/>
      <c r="P12" s="168"/>
      <c r="S12" s="229"/>
      <c r="T12" s="229"/>
      <c r="U12" s="235"/>
    </row>
    <row r="13" spans="1:21" s="16" customFormat="1" ht="28.5" customHeight="1">
      <c r="A13" s="439" t="s">
        <v>37</v>
      </c>
      <c r="B13" s="440"/>
      <c r="C13" s="257" t="s">
        <v>156</v>
      </c>
      <c r="D13" s="258"/>
      <c r="E13" s="258"/>
      <c r="F13" s="259"/>
      <c r="G13" s="126"/>
      <c r="H13" s="126"/>
      <c r="I13" s="126"/>
      <c r="J13" s="126"/>
      <c r="K13" s="6" t="s">
        <v>16</v>
      </c>
      <c r="L13" s="7" t="s">
        <v>54</v>
      </c>
      <c r="M13" s="7" t="s">
        <v>22</v>
      </c>
      <c r="N13" s="6">
        <v>74200</v>
      </c>
      <c r="O13" s="32">
        <v>2000</v>
      </c>
      <c r="P13" s="32"/>
      <c r="Q13" s="157"/>
      <c r="R13" s="212"/>
      <c r="S13" s="229"/>
      <c r="T13" s="229"/>
      <c r="U13" s="235">
        <f>S13+T13</f>
        <v>0</v>
      </c>
    </row>
    <row r="14" spans="1:21" s="16" customFormat="1" ht="28.5" customHeight="1">
      <c r="A14" s="441"/>
      <c r="B14" s="442"/>
      <c r="C14" s="260"/>
      <c r="D14" s="261"/>
      <c r="E14" s="261"/>
      <c r="F14" s="262"/>
      <c r="G14" s="124"/>
      <c r="H14" s="124"/>
      <c r="I14" s="124"/>
      <c r="J14" s="124"/>
      <c r="K14" s="6" t="s">
        <v>16</v>
      </c>
      <c r="L14" s="7" t="s">
        <v>54</v>
      </c>
      <c r="M14" s="7" t="s">
        <v>22</v>
      </c>
      <c r="N14" s="6">
        <v>74200</v>
      </c>
      <c r="O14" s="32">
        <v>5290.57</v>
      </c>
      <c r="P14" s="32"/>
      <c r="Q14" s="157"/>
      <c r="R14" s="212"/>
      <c r="S14" s="229"/>
      <c r="T14" s="229"/>
      <c r="U14" s="235">
        <f aca="true" t="shared" si="0" ref="U14:U77">S14+T14</f>
        <v>0</v>
      </c>
    </row>
    <row r="15" spans="1:24" s="16" customFormat="1" ht="20.25" customHeight="1">
      <c r="A15" s="441"/>
      <c r="B15" s="442"/>
      <c r="C15" s="257" t="s">
        <v>144</v>
      </c>
      <c r="D15" s="258"/>
      <c r="E15" s="258"/>
      <c r="F15" s="259"/>
      <c r="G15" s="124"/>
      <c r="H15" s="124"/>
      <c r="I15" s="124"/>
      <c r="J15" s="124"/>
      <c r="K15" s="20" t="s">
        <v>16</v>
      </c>
      <c r="L15" s="8" t="s">
        <v>54</v>
      </c>
      <c r="M15" s="7" t="s">
        <v>22</v>
      </c>
      <c r="N15" s="6">
        <v>71600</v>
      </c>
      <c r="O15" s="32">
        <v>10000</v>
      </c>
      <c r="P15" s="32"/>
      <c r="Q15" s="157"/>
      <c r="R15" s="212"/>
      <c r="S15" s="229"/>
      <c r="T15" s="229"/>
      <c r="U15" s="235">
        <f t="shared" si="0"/>
        <v>0</v>
      </c>
      <c r="X15" s="149"/>
    </row>
    <row r="16" spans="1:24" s="16" customFormat="1" ht="18.75" customHeight="1">
      <c r="A16" s="441"/>
      <c r="B16" s="442"/>
      <c r="C16" s="260"/>
      <c r="D16" s="261"/>
      <c r="E16" s="261"/>
      <c r="F16" s="262"/>
      <c r="G16" s="125"/>
      <c r="H16" s="125"/>
      <c r="I16" s="125"/>
      <c r="J16" s="125"/>
      <c r="K16" s="6" t="s">
        <v>16</v>
      </c>
      <c r="L16" s="7" t="s">
        <v>54</v>
      </c>
      <c r="M16" s="17" t="s">
        <v>22</v>
      </c>
      <c r="N16" s="14">
        <v>75700</v>
      </c>
      <c r="O16" s="32">
        <f>12*2*260*0.901+21709.3</f>
        <v>27331.54</v>
      </c>
      <c r="P16" s="32"/>
      <c r="Q16" s="157"/>
      <c r="R16" s="212"/>
      <c r="S16" s="229">
        <v>32000</v>
      </c>
      <c r="T16" s="230">
        <v>24000</v>
      </c>
      <c r="U16" s="235">
        <f t="shared" si="0"/>
        <v>56000</v>
      </c>
      <c r="X16" s="149"/>
    </row>
    <row r="17" spans="1:24" s="16" customFormat="1" ht="19.5" customHeight="1">
      <c r="A17" s="127" t="s">
        <v>91</v>
      </c>
      <c r="C17" s="257" t="s">
        <v>71</v>
      </c>
      <c r="D17" s="258"/>
      <c r="E17" s="258"/>
      <c r="F17" s="259"/>
      <c r="G17" s="275"/>
      <c r="H17" s="275"/>
      <c r="I17" s="275"/>
      <c r="J17" s="275"/>
      <c r="K17" s="301" t="s">
        <v>16</v>
      </c>
      <c r="L17" s="303" t="s">
        <v>54</v>
      </c>
      <c r="M17" s="303" t="s">
        <v>22</v>
      </c>
      <c r="N17" s="301">
        <v>71600</v>
      </c>
      <c r="O17" s="305">
        <v>5000</v>
      </c>
      <c r="P17" s="32"/>
      <c r="Q17" s="157"/>
      <c r="R17" s="212"/>
      <c r="S17" s="229"/>
      <c r="T17" s="229"/>
      <c r="U17" s="235">
        <f t="shared" si="0"/>
        <v>0</v>
      </c>
      <c r="X17" s="149"/>
    </row>
    <row r="18" spans="1:24" s="16" customFormat="1" ht="17.25" customHeight="1">
      <c r="A18" s="416" t="s">
        <v>97</v>
      </c>
      <c r="B18" s="417"/>
      <c r="C18" s="413"/>
      <c r="D18" s="414"/>
      <c r="E18" s="414"/>
      <c r="F18" s="415"/>
      <c r="G18" s="276"/>
      <c r="H18" s="276"/>
      <c r="I18" s="276"/>
      <c r="J18" s="276"/>
      <c r="K18" s="302"/>
      <c r="L18" s="304"/>
      <c r="M18" s="304"/>
      <c r="N18" s="302"/>
      <c r="O18" s="306"/>
      <c r="P18" s="32"/>
      <c r="Q18" s="157"/>
      <c r="R18" s="212"/>
      <c r="S18" s="229"/>
      <c r="T18" s="229"/>
      <c r="U18" s="235">
        <f t="shared" si="0"/>
        <v>0</v>
      </c>
      <c r="X18" s="149"/>
    </row>
    <row r="19" spans="1:24" s="16" customFormat="1" ht="17.25" customHeight="1">
      <c r="A19" s="416"/>
      <c r="B19" s="417"/>
      <c r="C19" s="260"/>
      <c r="D19" s="261"/>
      <c r="E19" s="261"/>
      <c r="F19" s="262"/>
      <c r="G19" s="277"/>
      <c r="H19" s="277"/>
      <c r="I19" s="277"/>
      <c r="J19" s="277"/>
      <c r="K19" s="6" t="s">
        <v>16</v>
      </c>
      <c r="L19" s="7" t="s">
        <v>54</v>
      </c>
      <c r="M19" s="17" t="s">
        <v>22</v>
      </c>
      <c r="N19" s="14">
        <v>75700</v>
      </c>
      <c r="O19" s="32">
        <f>23*260*0.901</f>
        <v>5387.9800000000005</v>
      </c>
      <c r="P19" s="32"/>
      <c r="Q19" s="157"/>
      <c r="R19" s="212"/>
      <c r="S19" s="229">
        <f>8700+7000</f>
        <v>15700</v>
      </c>
      <c r="T19" s="230">
        <f>8700+7000</f>
        <v>15700</v>
      </c>
      <c r="U19" s="235">
        <f t="shared" si="0"/>
        <v>31400</v>
      </c>
      <c r="W19" s="245"/>
      <c r="X19" s="246"/>
    </row>
    <row r="20" spans="1:21" s="16" customFormat="1" ht="25.5" customHeight="1">
      <c r="A20" s="416"/>
      <c r="B20" s="417"/>
      <c r="C20" s="257" t="s">
        <v>145</v>
      </c>
      <c r="D20" s="258"/>
      <c r="E20" s="258"/>
      <c r="F20" s="258"/>
      <c r="G20" s="275"/>
      <c r="H20" s="275"/>
      <c r="I20" s="275"/>
      <c r="J20" s="409"/>
      <c r="K20" s="6" t="s">
        <v>16</v>
      </c>
      <c r="L20" s="8" t="s">
        <v>54</v>
      </c>
      <c r="M20" s="7" t="s">
        <v>22</v>
      </c>
      <c r="N20" s="6">
        <v>71600</v>
      </c>
      <c r="O20" s="32">
        <v>5000</v>
      </c>
      <c r="P20" s="32"/>
      <c r="Q20" s="157"/>
      <c r="R20" s="212"/>
      <c r="S20" s="229"/>
      <c r="T20" s="229"/>
      <c r="U20" s="235">
        <f t="shared" si="0"/>
        <v>0</v>
      </c>
    </row>
    <row r="21" spans="1:21" s="16" customFormat="1" ht="21" customHeight="1">
      <c r="A21" s="416"/>
      <c r="B21" s="417"/>
      <c r="C21" s="260"/>
      <c r="D21" s="261"/>
      <c r="E21" s="261"/>
      <c r="F21" s="261"/>
      <c r="G21" s="276"/>
      <c r="H21" s="276"/>
      <c r="I21" s="276"/>
      <c r="J21" s="410"/>
      <c r="K21" s="6" t="s">
        <v>16</v>
      </c>
      <c r="L21" s="7" t="s">
        <v>54</v>
      </c>
      <c r="M21" s="7" t="s">
        <v>22</v>
      </c>
      <c r="N21" s="6">
        <v>75700</v>
      </c>
      <c r="O21" s="32">
        <f>12*260*0.901</f>
        <v>2811.12</v>
      </c>
      <c r="P21" s="32"/>
      <c r="Q21" s="157"/>
      <c r="R21" s="212"/>
      <c r="S21" s="229">
        <f>4800+3360</f>
        <v>8160</v>
      </c>
      <c r="T21" s="230">
        <f>4800+3360</f>
        <v>8160</v>
      </c>
      <c r="U21" s="235">
        <f t="shared" si="0"/>
        <v>16320</v>
      </c>
    </row>
    <row r="22" spans="1:21" s="16" customFormat="1" ht="21" customHeight="1">
      <c r="A22" s="416"/>
      <c r="B22" s="417"/>
      <c r="C22" s="251" t="s">
        <v>140</v>
      </c>
      <c r="D22" s="252"/>
      <c r="E22" s="252"/>
      <c r="F22" s="253"/>
      <c r="G22" s="276"/>
      <c r="H22" s="276"/>
      <c r="I22" s="276"/>
      <c r="J22" s="193"/>
      <c r="K22" s="6" t="s">
        <v>16</v>
      </c>
      <c r="L22" s="7" t="s">
        <v>54</v>
      </c>
      <c r="M22" s="7" t="s">
        <v>22</v>
      </c>
      <c r="N22" s="6">
        <v>71600</v>
      </c>
      <c r="O22" s="191">
        <v>15000</v>
      </c>
      <c r="P22" s="191"/>
      <c r="Q22" s="157"/>
      <c r="R22" s="212"/>
      <c r="S22" s="229"/>
      <c r="T22" s="229"/>
      <c r="U22" s="235">
        <f t="shared" si="0"/>
        <v>0</v>
      </c>
    </row>
    <row r="23" spans="1:21" s="16" customFormat="1" ht="19.5" customHeight="1">
      <c r="A23" s="416"/>
      <c r="B23" s="417"/>
      <c r="C23" s="418" t="s">
        <v>40</v>
      </c>
      <c r="D23" s="419"/>
      <c r="E23" s="419"/>
      <c r="F23" s="419"/>
      <c r="G23" s="277"/>
      <c r="H23" s="277"/>
      <c r="I23" s="277"/>
      <c r="J23" s="134"/>
      <c r="K23" s="24" t="s">
        <v>16</v>
      </c>
      <c r="L23" s="24" t="s">
        <v>54</v>
      </c>
      <c r="M23" s="24" t="s">
        <v>22</v>
      </c>
      <c r="N23" s="25">
        <v>75100</v>
      </c>
      <c r="O23" s="191">
        <f>SUM(O13:O22)*0.07</f>
        <v>5447.484700000001</v>
      </c>
      <c r="P23" s="123"/>
      <c r="Q23" s="49"/>
      <c r="R23" s="212"/>
      <c r="S23" s="225">
        <f>SUM(S13:S22)*0.07</f>
        <v>3910.2000000000003</v>
      </c>
      <c r="T23" s="229">
        <f>SUM(T13:T22)*7/100</f>
        <v>3350.2</v>
      </c>
      <c r="U23" s="235">
        <f t="shared" si="0"/>
        <v>7260.4</v>
      </c>
    </row>
    <row r="24" spans="1:21" s="16" customFormat="1" ht="33.75" customHeight="1" hidden="1">
      <c r="A24" s="416"/>
      <c r="B24" s="417"/>
      <c r="C24" s="27"/>
      <c r="D24" s="28"/>
      <c r="E24" s="28"/>
      <c r="F24" s="28"/>
      <c r="G24" s="26"/>
      <c r="H24" s="26"/>
      <c r="I24" s="26"/>
      <c r="J24" s="26"/>
      <c r="K24" s="30"/>
      <c r="L24" s="30"/>
      <c r="M24" s="30"/>
      <c r="N24" s="31"/>
      <c r="O24" s="21"/>
      <c r="P24" s="21"/>
      <c r="Q24" s="157"/>
      <c r="R24" s="212"/>
      <c r="S24" s="225"/>
      <c r="T24" s="229"/>
      <c r="U24" s="235">
        <f t="shared" si="0"/>
        <v>0</v>
      </c>
    </row>
    <row r="25" spans="1:21" s="16" customFormat="1" ht="33.75" customHeight="1" hidden="1">
      <c r="A25" s="416"/>
      <c r="B25" s="417"/>
      <c r="C25" s="27"/>
      <c r="D25" s="28"/>
      <c r="E25" s="28"/>
      <c r="F25" s="28"/>
      <c r="G25" s="26"/>
      <c r="H25" s="26"/>
      <c r="I25" s="26"/>
      <c r="J25" s="26"/>
      <c r="K25" s="30"/>
      <c r="L25" s="30"/>
      <c r="M25" s="30"/>
      <c r="N25" s="31"/>
      <c r="O25" s="21"/>
      <c r="P25" s="21"/>
      <c r="Q25" s="157"/>
      <c r="R25" s="212"/>
      <c r="S25" s="225"/>
      <c r="T25" s="229"/>
      <c r="U25" s="235">
        <f t="shared" si="0"/>
        <v>0</v>
      </c>
    </row>
    <row r="26" spans="1:21" s="16" customFormat="1" ht="33.75" customHeight="1" hidden="1">
      <c r="A26" s="416"/>
      <c r="B26" s="417"/>
      <c r="C26" s="27"/>
      <c r="D26" s="28"/>
      <c r="E26" s="28"/>
      <c r="F26" s="28"/>
      <c r="G26" s="26"/>
      <c r="H26" s="26"/>
      <c r="I26" s="26"/>
      <c r="J26" s="26"/>
      <c r="K26" s="30"/>
      <c r="L26" s="30"/>
      <c r="M26" s="30"/>
      <c r="N26" s="31"/>
      <c r="O26" s="21"/>
      <c r="P26" s="21"/>
      <c r="Q26" s="157"/>
      <c r="R26" s="212"/>
      <c r="S26" s="225"/>
      <c r="T26" s="229"/>
      <c r="U26" s="235">
        <f t="shared" si="0"/>
        <v>0</v>
      </c>
    </row>
    <row r="27" spans="1:21" s="16" customFormat="1" ht="33.75" customHeight="1" hidden="1">
      <c r="A27" s="416"/>
      <c r="B27" s="417"/>
      <c r="C27" s="27"/>
      <c r="D27" s="28"/>
      <c r="E27" s="28"/>
      <c r="F27" s="28"/>
      <c r="G27" s="26"/>
      <c r="H27" s="26"/>
      <c r="I27" s="26"/>
      <c r="J27" s="26"/>
      <c r="K27" s="30"/>
      <c r="L27" s="30"/>
      <c r="M27" s="30"/>
      <c r="N27" s="31"/>
      <c r="O27" s="21"/>
      <c r="P27" s="21"/>
      <c r="Q27" s="157"/>
      <c r="R27" s="212"/>
      <c r="S27" s="225"/>
      <c r="T27" s="229"/>
      <c r="U27" s="235">
        <f t="shared" si="0"/>
        <v>0</v>
      </c>
    </row>
    <row r="28" spans="1:21" s="16" customFormat="1" ht="33.75" customHeight="1" hidden="1">
      <c r="A28" s="416"/>
      <c r="B28" s="417"/>
      <c r="C28" s="27"/>
      <c r="D28" s="28"/>
      <c r="E28" s="28"/>
      <c r="F28" s="28"/>
      <c r="G28" s="26"/>
      <c r="H28" s="26"/>
      <c r="I28" s="26"/>
      <c r="J28" s="26"/>
      <c r="K28" s="30"/>
      <c r="L28" s="30"/>
      <c r="M28" s="30"/>
      <c r="N28" s="31"/>
      <c r="O28" s="21"/>
      <c r="P28" s="21"/>
      <c r="Q28" s="157"/>
      <c r="R28" s="212"/>
      <c r="S28" s="225"/>
      <c r="T28" s="229"/>
      <c r="U28" s="235">
        <f t="shared" si="0"/>
        <v>0</v>
      </c>
    </row>
    <row r="29" spans="1:21" s="16" customFormat="1" ht="33.75" customHeight="1" hidden="1">
      <c r="A29" s="416"/>
      <c r="B29" s="417"/>
      <c r="C29" s="27"/>
      <c r="D29" s="28"/>
      <c r="E29" s="28"/>
      <c r="F29" s="28"/>
      <c r="G29" s="26"/>
      <c r="H29" s="26"/>
      <c r="I29" s="26"/>
      <c r="J29" s="26"/>
      <c r="K29" s="30"/>
      <c r="L29" s="30"/>
      <c r="M29" s="30"/>
      <c r="N29" s="31"/>
      <c r="O29" s="21"/>
      <c r="P29" s="21"/>
      <c r="Q29" s="157"/>
      <c r="R29" s="212"/>
      <c r="S29" s="225"/>
      <c r="T29" s="229"/>
      <c r="U29" s="235">
        <f t="shared" si="0"/>
        <v>0</v>
      </c>
    </row>
    <row r="30" spans="1:21" s="16" customFormat="1" ht="33.75" customHeight="1" hidden="1">
      <c r="A30" s="416"/>
      <c r="B30" s="417"/>
      <c r="C30" s="27"/>
      <c r="D30" s="28"/>
      <c r="E30" s="28"/>
      <c r="F30" s="28"/>
      <c r="G30" s="26"/>
      <c r="H30" s="26"/>
      <c r="I30" s="26"/>
      <c r="J30" s="26"/>
      <c r="K30" s="30"/>
      <c r="L30" s="30"/>
      <c r="M30" s="30"/>
      <c r="N30" s="31"/>
      <c r="O30" s="21"/>
      <c r="P30" s="21"/>
      <c r="Q30" s="157"/>
      <c r="R30" s="212"/>
      <c r="S30" s="225"/>
      <c r="T30" s="229"/>
      <c r="U30" s="235">
        <f t="shared" si="0"/>
        <v>0</v>
      </c>
    </row>
    <row r="31" spans="1:21" s="16" customFormat="1" ht="33.75" customHeight="1" hidden="1">
      <c r="A31" s="416"/>
      <c r="B31" s="417"/>
      <c r="C31" s="27"/>
      <c r="D31" s="28"/>
      <c r="E31" s="28"/>
      <c r="F31" s="28"/>
      <c r="G31" s="26"/>
      <c r="H31" s="26"/>
      <c r="I31" s="26"/>
      <c r="J31" s="26"/>
      <c r="K31" s="30"/>
      <c r="L31" s="30"/>
      <c r="M31" s="30"/>
      <c r="N31" s="31"/>
      <c r="O31" s="21"/>
      <c r="P31" s="21"/>
      <c r="Q31" s="157"/>
      <c r="R31" s="212"/>
      <c r="S31" s="225"/>
      <c r="T31" s="229"/>
      <c r="U31" s="235">
        <f t="shared" si="0"/>
        <v>0</v>
      </c>
    </row>
    <row r="32" spans="1:21" s="16" customFormat="1" ht="33.75" customHeight="1" hidden="1">
      <c r="A32" s="416"/>
      <c r="B32" s="417"/>
      <c r="C32" s="27"/>
      <c r="D32" s="28"/>
      <c r="E32" s="28"/>
      <c r="F32" s="28"/>
      <c r="G32" s="26"/>
      <c r="H32" s="26"/>
      <c r="I32" s="26"/>
      <c r="J32" s="26"/>
      <c r="K32" s="30"/>
      <c r="L32" s="30"/>
      <c r="M32" s="30"/>
      <c r="N32" s="31"/>
      <c r="O32" s="21"/>
      <c r="P32" s="21"/>
      <c r="Q32" s="157"/>
      <c r="R32" s="212"/>
      <c r="S32" s="225"/>
      <c r="T32" s="229"/>
      <c r="U32" s="235">
        <f t="shared" si="0"/>
        <v>0</v>
      </c>
    </row>
    <row r="33" spans="1:21" s="16" customFormat="1" ht="15.75" customHeight="1">
      <c r="A33" s="416"/>
      <c r="B33" s="417"/>
      <c r="C33" s="322" t="s">
        <v>38</v>
      </c>
      <c r="D33" s="323"/>
      <c r="E33" s="323"/>
      <c r="F33" s="323"/>
      <c r="G33" s="323"/>
      <c r="H33" s="323"/>
      <c r="I33" s="323"/>
      <c r="J33" s="323"/>
      <c r="K33" s="323"/>
      <c r="L33" s="323"/>
      <c r="M33" s="323"/>
      <c r="N33" s="324"/>
      <c r="O33" s="101">
        <f>SUM(O13:O23)</f>
        <v>83268.69470000001</v>
      </c>
      <c r="P33" s="101"/>
      <c r="Q33" s="101"/>
      <c r="R33" s="213"/>
      <c r="S33" s="226">
        <f>SUM(S13:S23)</f>
        <v>59770.2</v>
      </c>
      <c r="T33" s="231">
        <f>SUM(T13:T23)</f>
        <v>51210.2</v>
      </c>
      <c r="U33" s="236">
        <f t="shared" si="0"/>
        <v>110980.4</v>
      </c>
    </row>
    <row r="34" spans="1:21" s="16" customFormat="1" ht="27.75" customHeight="1">
      <c r="A34" s="416"/>
      <c r="B34" s="417"/>
      <c r="C34" s="298" t="s">
        <v>39</v>
      </c>
      <c r="D34" s="299"/>
      <c r="E34" s="299"/>
      <c r="F34" s="299"/>
      <c r="G34" s="299"/>
      <c r="H34" s="299"/>
      <c r="I34" s="299"/>
      <c r="J34" s="299"/>
      <c r="K34" s="299"/>
      <c r="L34" s="299"/>
      <c r="M34" s="299"/>
      <c r="N34" s="299"/>
      <c r="O34" s="299"/>
      <c r="P34" s="169"/>
      <c r="S34" s="229"/>
      <c r="T34" s="229"/>
      <c r="U34" s="235">
        <f t="shared" si="0"/>
        <v>0</v>
      </c>
    </row>
    <row r="35" spans="1:21" s="16" customFormat="1" ht="18" customHeight="1">
      <c r="A35" s="416"/>
      <c r="B35" s="417"/>
      <c r="C35" s="295" t="s">
        <v>123</v>
      </c>
      <c r="D35" s="296"/>
      <c r="E35" s="296"/>
      <c r="F35" s="296"/>
      <c r="G35" s="276"/>
      <c r="H35" s="276"/>
      <c r="I35" s="276"/>
      <c r="J35" s="276"/>
      <c r="K35" s="74" t="s">
        <v>16</v>
      </c>
      <c r="L35" s="74" t="s">
        <v>54</v>
      </c>
      <c r="M35" s="74" t="s">
        <v>22</v>
      </c>
      <c r="N35" s="47">
        <v>71600</v>
      </c>
      <c r="O35" s="208">
        <v>0</v>
      </c>
      <c r="P35" s="119"/>
      <c r="Q35" s="156"/>
      <c r="R35" s="212"/>
      <c r="S35" s="229"/>
      <c r="T35" s="229"/>
      <c r="U35" s="235">
        <f t="shared" si="0"/>
        <v>0</v>
      </c>
    </row>
    <row r="36" spans="1:21" s="16" customFormat="1" ht="18.75" customHeight="1">
      <c r="A36" s="416"/>
      <c r="B36" s="417"/>
      <c r="C36" s="272"/>
      <c r="D36" s="273"/>
      <c r="E36" s="273"/>
      <c r="F36" s="273"/>
      <c r="G36" s="277"/>
      <c r="H36" s="277"/>
      <c r="I36" s="277"/>
      <c r="J36" s="277"/>
      <c r="K36" s="74" t="s">
        <v>16</v>
      </c>
      <c r="L36" s="74" t="s">
        <v>54</v>
      </c>
      <c r="M36" s="74" t="s">
        <v>22</v>
      </c>
      <c r="N36" s="48">
        <v>75700</v>
      </c>
      <c r="O36" s="208">
        <v>0</v>
      </c>
      <c r="P36" s="119"/>
      <c r="Q36" s="156"/>
      <c r="R36" s="212"/>
      <c r="S36" s="229"/>
      <c r="T36" s="229"/>
      <c r="U36" s="235">
        <f t="shared" si="0"/>
        <v>0</v>
      </c>
    </row>
    <row r="37" spans="1:21" s="16" customFormat="1" ht="16.5" customHeight="1">
      <c r="A37" s="416"/>
      <c r="B37" s="417"/>
      <c r="C37" s="427" t="s">
        <v>72</v>
      </c>
      <c r="D37" s="427"/>
      <c r="E37" s="427"/>
      <c r="F37" s="427"/>
      <c r="G37" s="350"/>
      <c r="H37" s="350"/>
      <c r="I37" s="350"/>
      <c r="J37" s="350"/>
      <c r="K37" s="50" t="s">
        <v>16</v>
      </c>
      <c r="L37" s="51" t="s">
        <v>54</v>
      </c>
      <c r="M37" s="50" t="s">
        <v>22</v>
      </c>
      <c r="N37" s="48">
        <v>72200</v>
      </c>
      <c r="O37" s="208">
        <v>0</v>
      </c>
      <c r="P37" s="119"/>
      <c r="Q37" s="156"/>
      <c r="R37" s="212"/>
      <c r="S37" s="229"/>
      <c r="T37" s="229"/>
      <c r="U37" s="235">
        <f t="shared" si="0"/>
        <v>0</v>
      </c>
    </row>
    <row r="38" spans="1:24" s="16" customFormat="1" ht="15.75" customHeight="1">
      <c r="A38" s="416"/>
      <c r="B38" s="417"/>
      <c r="C38" s="427"/>
      <c r="D38" s="427"/>
      <c r="E38" s="427"/>
      <c r="F38" s="427"/>
      <c r="G38" s="350"/>
      <c r="H38" s="350"/>
      <c r="I38" s="350"/>
      <c r="J38" s="350"/>
      <c r="K38" s="50" t="s">
        <v>16</v>
      </c>
      <c r="L38" s="74" t="s">
        <v>54</v>
      </c>
      <c r="M38" s="50" t="s">
        <v>22</v>
      </c>
      <c r="N38" s="52">
        <v>72800</v>
      </c>
      <c r="O38" s="208">
        <v>0</v>
      </c>
      <c r="P38" s="119"/>
      <c r="Q38" s="156"/>
      <c r="R38" s="212"/>
      <c r="S38" s="229"/>
      <c r="T38" s="229"/>
      <c r="U38" s="235">
        <f t="shared" si="0"/>
        <v>0</v>
      </c>
      <c r="X38" s="149"/>
    </row>
    <row r="39" spans="1:21" s="16" customFormat="1" ht="18" customHeight="1">
      <c r="A39" s="416"/>
      <c r="B39" s="417"/>
      <c r="C39" s="269" t="s">
        <v>73</v>
      </c>
      <c r="D39" s="270"/>
      <c r="E39" s="270"/>
      <c r="F39" s="271"/>
      <c r="G39" s="275"/>
      <c r="H39" s="275"/>
      <c r="I39" s="275"/>
      <c r="J39" s="275"/>
      <c r="K39" s="74" t="s">
        <v>16</v>
      </c>
      <c r="L39" s="74" t="s">
        <v>54</v>
      </c>
      <c r="M39" s="74" t="s">
        <v>22</v>
      </c>
      <c r="N39" s="47">
        <v>71300</v>
      </c>
      <c r="O39" s="208">
        <v>0</v>
      </c>
      <c r="P39" s="119"/>
      <c r="Q39" s="156"/>
      <c r="R39" s="212"/>
      <c r="S39" s="229"/>
      <c r="T39" s="229"/>
      <c r="U39" s="235">
        <f t="shared" si="0"/>
        <v>0</v>
      </c>
    </row>
    <row r="40" spans="1:24" s="16" customFormat="1" ht="15.75" customHeight="1">
      <c r="A40" s="416"/>
      <c r="B40" s="417"/>
      <c r="C40" s="272"/>
      <c r="D40" s="273"/>
      <c r="E40" s="273"/>
      <c r="F40" s="274"/>
      <c r="G40" s="277"/>
      <c r="H40" s="277"/>
      <c r="I40" s="277"/>
      <c r="J40" s="277"/>
      <c r="K40" s="74" t="s">
        <v>16</v>
      </c>
      <c r="L40" s="74" t="s">
        <v>54</v>
      </c>
      <c r="M40" s="74" t="s">
        <v>22</v>
      </c>
      <c r="N40" s="48">
        <v>75700</v>
      </c>
      <c r="O40" s="208">
        <v>0</v>
      </c>
      <c r="P40" s="119"/>
      <c r="Q40" s="156"/>
      <c r="R40" s="212"/>
      <c r="S40" s="229">
        <v>320</v>
      </c>
      <c r="T40" s="230">
        <v>320</v>
      </c>
      <c r="U40" s="235">
        <f t="shared" si="0"/>
        <v>640</v>
      </c>
      <c r="X40" s="149"/>
    </row>
    <row r="41" spans="1:24" s="16" customFormat="1" ht="51.75" customHeight="1">
      <c r="A41" s="416"/>
      <c r="B41" s="417"/>
      <c r="C41" s="325" t="s">
        <v>146</v>
      </c>
      <c r="D41" s="326"/>
      <c r="E41" s="326"/>
      <c r="F41" s="327"/>
      <c r="G41" s="109"/>
      <c r="H41" s="110"/>
      <c r="I41" s="110"/>
      <c r="J41" s="110"/>
      <c r="K41" s="50" t="s">
        <v>16</v>
      </c>
      <c r="L41" s="54" t="s">
        <v>54</v>
      </c>
      <c r="M41" s="50" t="s">
        <v>22</v>
      </c>
      <c r="N41" s="55">
        <v>75700</v>
      </c>
      <c r="O41" s="21">
        <f>24*4*150*0.901+20000</f>
        <v>32974.4</v>
      </c>
      <c r="P41" s="119"/>
      <c r="Q41" s="156"/>
      <c r="R41" s="212"/>
      <c r="S41" s="229">
        <v>13950</v>
      </c>
      <c r="T41" s="230">
        <f>13800</f>
        <v>13800</v>
      </c>
      <c r="U41" s="235">
        <f t="shared" si="0"/>
        <v>27750</v>
      </c>
      <c r="X41" s="149"/>
    </row>
    <row r="42" spans="1:24" s="16" customFormat="1" ht="23.25" customHeight="1">
      <c r="A42" s="416"/>
      <c r="B42" s="417"/>
      <c r="C42" s="270" t="s">
        <v>147</v>
      </c>
      <c r="D42" s="270"/>
      <c r="E42" s="270"/>
      <c r="F42" s="270"/>
      <c r="G42" s="425"/>
      <c r="H42" s="425"/>
      <c r="I42" s="425"/>
      <c r="J42" s="425"/>
      <c r="K42" s="50" t="s">
        <v>16</v>
      </c>
      <c r="L42" s="51" t="s">
        <v>54</v>
      </c>
      <c r="M42" s="50" t="s">
        <v>22</v>
      </c>
      <c r="N42" s="52">
        <v>71600</v>
      </c>
      <c r="O42" s="21">
        <v>5000</v>
      </c>
      <c r="P42" s="119"/>
      <c r="Q42" s="156"/>
      <c r="R42" s="212"/>
      <c r="S42" s="229"/>
      <c r="T42" s="229"/>
      <c r="U42" s="235">
        <f t="shared" si="0"/>
        <v>0</v>
      </c>
      <c r="W42" s="245"/>
      <c r="X42" s="246"/>
    </row>
    <row r="43" spans="1:21" s="16" customFormat="1" ht="18.75" customHeight="1">
      <c r="A43" s="416"/>
      <c r="B43" s="417"/>
      <c r="C43" s="273"/>
      <c r="D43" s="273"/>
      <c r="E43" s="273"/>
      <c r="F43" s="273"/>
      <c r="G43" s="426"/>
      <c r="H43" s="426"/>
      <c r="I43" s="426"/>
      <c r="J43" s="426"/>
      <c r="K43" s="50" t="s">
        <v>16</v>
      </c>
      <c r="L43" s="51" t="s">
        <v>54</v>
      </c>
      <c r="M43" s="50" t="s">
        <v>22</v>
      </c>
      <c r="N43" s="52">
        <v>75700</v>
      </c>
      <c r="O43" s="21">
        <f>12*2*260*0.901</f>
        <v>5622.24</v>
      </c>
      <c r="P43" s="119"/>
      <c r="Q43" s="49"/>
      <c r="R43" s="212"/>
      <c r="S43" s="229">
        <v>2700</v>
      </c>
      <c r="T43" s="230">
        <v>2700</v>
      </c>
      <c r="U43" s="235">
        <f t="shared" si="0"/>
        <v>5400</v>
      </c>
    </row>
    <row r="44" spans="1:21" s="16" customFormat="1" ht="18.75" customHeight="1">
      <c r="A44" s="416"/>
      <c r="B44" s="417"/>
      <c r="C44" s="263" t="s">
        <v>124</v>
      </c>
      <c r="D44" s="264"/>
      <c r="E44" s="264"/>
      <c r="F44" s="265"/>
      <c r="G44" s="348"/>
      <c r="H44" s="348"/>
      <c r="I44" s="348"/>
      <c r="J44" s="348"/>
      <c r="K44" s="24" t="s">
        <v>16</v>
      </c>
      <c r="L44" s="8" t="s">
        <v>54</v>
      </c>
      <c r="M44" s="24" t="s">
        <v>22</v>
      </c>
      <c r="N44" s="187">
        <v>71600</v>
      </c>
      <c r="O44" s="21">
        <v>15000</v>
      </c>
      <c r="P44" s="119"/>
      <c r="Q44" s="49"/>
      <c r="R44" s="212"/>
      <c r="S44" s="229"/>
      <c r="T44" s="229"/>
      <c r="U44" s="235">
        <f t="shared" si="0"/>
        <v>0</v>
      </c>
    </row>
    <row r="45" spans="1:21" s="16" customFormat="1" ht="18.75" customHeight="1">
      <c r="A45" s="416"/>
      <c r="B45" s="417"/>
      <c r="C45" s="266"/>
      <c r="D45" s="267"/>
      <c r="E45" s="267"/>
      <c r="F45" s="268"/>
      <c r="G45" s="349"/>
      <c r="H45" s="349"/>
      <c r="I45" s="349"/>
      <c r="J45" s="349"/>
      <c r="K45" s="24" t="s">
        <v>16</v>
      </c>
      <c r="L45" s="8" t="s">
        <v>54</v>
      </c>
      <c r="M45" s="24" t="s">
        <v>22</v>
      </c>
      <c r="N45" s="187">
        <v>75700</v>
      </c>
      <c r="O45" s="21">
        <f>200*150*0.901+5000</f>
        <v>32030</v>
      </c>
      <c r="P45" s="119"/>
      <c r="Q45" s="49"/>
      <c r="R45" s="212"/>
      <c r="S45" s="229">
        <v>20000</v>
      </c>
      <c r="T45" s="229"/>
      <c r="U45" s="235">
        <f t="shared" si="0"/>
        <v>20000</v>
      </c>
    </row>
    <row r="46" spans="1:21" s="16" customFormat="1" ht="18.75" customHeight="1">
      <c r="A46" s="416"/>
      <c r="B46" s="417"/>
      <c r="C46" s="254" t="s">
        <v>140</v>
      </c>
      <c r="D46" s="255"/>
      <c r="E46" s="255"/>
      <c r="F46" s="256"/>
      <c r="G46" s="200"/>
      <c r="H46" s="200"/>
      <c r="I46" s="200"/>
      <c r="J46" s="200"/>
      <c r="K46" s="6" t="s">
        <v>16</v>
      </c>
      <c r="L46" s="7" t="s">
        <v>54</v>
      </c>
      <c r="M46" s="7" t="s">
        <v>22</v>
      </c>
      <c r="N46" s="6">
        <v>71600</v>
      </c>
      <c r="O46" s="191">
        <v>20000</v>
      </c>
      <c r="P46" s="119"/>
      <c r="Q46" s="49"/>
      <c r="R46" s="212"/>
      <c r="S46" s="229"/>
      <c r="T46" s="229"/>
      <c r="U46" s="235">
        <f t="shared" si="0"/>
        <v>0</v>
      </c>
    </row>
    <row r="47" spans="1:21" s="16" customFormat="1" ht="21.75" customHeight="1">
      <c r="A47" s="416"/>
      <c r="B47" s="417"/>
      <c r="C47" s="438" t="s">
        <v>40</v>
      </c>
      <c r="D47" s="438"/>
      <c r="E47" s="438"/>
      <c r="F47" s="438"/>
      <c r="G47" s="317"/>
      <c r="H47" s="318"/>
      <c r="I47" s="318"/>
      <c r="J47" s="319"/>
      <c r="K47" s="50" t="s">
        <v>16</v>
      </c>
      <c r="L47" s="51" t="s">
        <v>54</v>
      </c>
      <c r="M47" s="50" t="s">
        <v>22</v>
      </c>
      <c r="N47" s="23">
        <v>75100</v>
      </c>
      <c r="O47" s="194">
        <f>SUM(O35:O46)*0.07</f>
        <v>7743.8648</v>
      </c>
      <c r="P47" s="119"/>
      <c r="Q47" s="119"/>
      <c r="R47" s="214"/>
      <c r="S47" s="194">
        <f>SUM(S35:S46)*0.07</f>
        <v>2587.9</v>
      </c>
      <c r="T47" s="229">
        <f>SUM(T35:T46)*7/100</f>
        <v>1177.4</v>
      </c>
      <c r="U47" s="235">
        <f t="shared" si="0"/>
        <v>3765.3</v>
      </c>
    </row>
    <row r="48" spans="1:21" s="16" customFormat="1" ht="17.25" customHeight="1">
      <c r="A48" s="416"/>
      <c r="B48" s="417"/>
      <c r="C48" s="323" t="s">
        <v>38</v>
      </c>
      <c r="D48" s="323"/>
      <c r="E48" s="323"/>
      <c r="F48" s="323"/>
      <c r="G48" s="323"/>
      <c r="H48" s="323"/>
      <c r="I48" s="323"/>
      <c r="J48" s="323"/>
      <c r="K48" s="323"/>
      <c r="L48" s="323"/>
      <c r="M48" s="323"/>
      <c r="N48" s="324"/>
      <c r="O48" s="101">
        <f>SUM(O35:O47)</f>
        <v>118370.5048</v>
      </c>
      <c r="P48" s="101"/>
      <c r="Q48" s="101"/>
      <c r="R48" s="213"/>
      <c r="S48" s="101">
        <f>SUM(S35:S47)</f>
        <v>39557.9</v>
      </c>
      <c r="T48" s="231">
        <f>SUM(T35:T47)</f>
        <v>17997.4</v>
      </c>
      <c r="U48" s="236">
        <f t="shared" si="0"/>
        <v>57555.3</v>
      </c>
    </row>
    <row r="49" spans="1:21" s="16" customFormat="1" ht="32.25" customHeight="1">
      <c r="A49" s="416"/>
      <c r="B49" s="417"/>
      <c r="C49" s="298" t="s">
        <v>65</v>
      </c>
      <c r="D49" s="299"/>
      <c r="E49" s="299"/>
      <c r="F49" s="299"/>
      <c r="G49" s="299"/>
      <c r="H49" s="299"/>
      <c r="I49" s="299"/>
      <c r="J49" s="299"/>
      <c r="K49" s="299"/>
      <c r="L49" s="299"/>
      <c r="M49" s="299"/>
      <c r="N49" s="299"/>
      <c r="O49" s="299"/>
      <c r="P49" s="164"/>
      <c r="Q49" s="154"/>
      <c r="R49" s="215"/>
      <c r="S49" s="229"/>
      <c r="T49" s="229"/>
      <c r="U49" s="235">
        <f t="shared" si="0"/>
        <v>0</v>
      </c>
    </row>
    <row r="50" spans="1:21" s="16" customFormat="1" ht="19.5" customHeight="1">
      <c r="A50" s="416"/>
      <c r="B50" s="417"/>
      <c r="C50" s="269" t="s">
        <v>53</v>
      </c>
      <c r="D50" s="270"/>
      <c r="E50" s="270"/>
      <c r="F50" s="271"/>
      <c r="G50" s="129"/>
      <c r="H50" s="178"/>
      <c r="I50" s="178"/>
      <c r="J50" s="178"/>
      <c r="K50" s="50" t="s">
        <v>16</v>
      </c>
      <c r="L50" s="50" t="s">
        <v>54</v>
      </c>
      <c r="M50" s="50" t="s">
        <v>22</v>
      </c>
      <c r="N50" s="55">
        <v>71600</v>
      </c>
      <c r="O50" s="195">
        <v>0</v>
      </c>
      <c r="P50" s="49"/>
      <c r="Q50" s="157"/>
      <c r="R50" s="212"/>
      <c r="S50" s="229"/>
      <c r="T50" s="229"/>
      <c r="U50" s="235">
        <f t="shared" si="0"/>
        <v>0</v>
      </c>
    </row>
    <row r="51" spans="1:24" s="16" customFormat="1" ht="24.75" customHeight="1">
      <c r="A51" s="416"/>
      <c r="B51" s="417"/>
      <c r="C51" s="272"/>
      <c r="D51" s="273"/>
      <c r="E51" s="273"/>
      <c r="F51" s="274"/>
      <c r="G51" s="179"/>
      <c r="H51" s="105"/>
      <c r="I51" s="105"/>
      <c r="J51" s="105"/>
      <c r="K51" s="177" t="s">
        <v>16</v>
      </c>
      <c r="L51" s="74" t="s">
        <v>54</v>
      </c>
      <c r="M51" s="177" t="s">
        <v>22</v>
      </c>
      <c r="N51" s="47">
        <v>75700</v>
      </c>
      <c r="O51" s="195">
        <v>0</v>
      </c>
      <c r="P51" s="49"/>
      <c r="Q51" s="157"/>
      <c r="R51" s="212"/>
      <c r="S51" s="229">
        <v>1800</v>
      </c>
      <c r="T51" s="229">
        <v>2520</v>
      </c>
      <c r="U51" s="235">
        <f t="shared" si="0"/>
        <v>4320</v>
      </c>
      <c r="X51" s="149"/>
    </row>
    <row r="52" spans="1:21" s="16" customFormat="1" ht="24.75" customHeight="1">
      <c r="A52" s="416"/>
      <c r="B52" s="417"/>
      <c r="C52" s="289" t="s">
        <v>125</v>
      </c>
      <c r="D52" s="290"/>
      <c r="E52" s="290"/>
      <c r="F52" s="291"/>
      <c r="G52" s="148"/>
      <c r="H52" s="148"/>
      <c r="I52" s="148"/>
      <c r="J52" s="148"/>
      <c r="K52" s="202" t="s">
        <v>16</v>
      </c>
      <c r="L52" s="201" t="s">
        <v>54</v>
      </c>
      <c r="M52" s="202" t="s">
        <v>22</v>
      </c>
      <c r="N52" s="48">
        <v>72600</v>
      </c>
      <c r="O52" s="32">
        <f>191450+25452</f>
        <v>216902</v>
      </c>
      <c r="P52" s="151"/>
      <c r="Q52" s="157"/>
      <c r="R52" s="216"/>
      <c r="S52" s="229">
        <f>20000+80500</f>
        <v>100500</v>
      </c>
      <c r="T52" s="229">
        <f>3*5000+19*1421.05263157+50*1665.32</f>
        <v>125265.99999983</v>
      </c>
      <c r="U52" s="235">
        <f t="shared" si="0"/>
        <v>225765.99999983</v>
      </c>
    </row>
    <row r="53" spans="1:24" s="16" customFormat="1" ht="24.75" customHeight="1">
      <c r="A53" s="416"/>
      <c r="B53" s="417"/>
      <c r="C53" s="292"/>
      <c r="D53" s="293"/>
      <c r="E53" s="293"/>
      <c r="F53" s="294"/>
      <c r="G53" s="242"/>
      <c r="H53" s="242"/>
      <c r="I53" s="242"/>
      <c r="J53" s="242"/>
      <c r="K53" s="144" t="s">
        <v>16</v>
      </c>
      <c r="L53" s="145" t="s">
        <v>60</v>
      </c>
      <c r="M53" s="146" t="s">
        <v>111</v>
      </c>
      <c r="N53" s="47">
        <v>72600</v>
      </c>
      <c r="O53" s="205">
        <v>232766</v>
      </c>
      <c r="P53" s="151"/>
      <c r="Q53" s="157"/>
      <c r="R53" s="216"/>
      <c r="S53" s="229"/>
      <c r="T53" s="229"/>
      <c r="U53" s="235"/>
      <c r="X53" s="149"/>
    </row>
    <row r="54" spans="1:24" s="16" customFormat="1" ht="30.75" customHeight="1">
      <c r="A54" s="416"/>
      <c r="B54" s="417"/>
      <c r="C54" s="450" t="s">
        <v>126</v>
      </c>
      <c r="D54" s="451"/>
      <c r="E54" s="451"/>
      <c r="F54" s="452"/>
      <c r="G54" s="60"/>
      <c r="H54" s="60"/>
      <c r="I54" s="60"/>
      <c r="J54" s="60"/>
      <c r="K54" s="50" t="s">
        <v>16</v>
      </c>
      <c r="L54" s="51" t="s">
        <v>54</v>
      </c>
      <c r="M54" s="50" t="s">
        <v>22</v>
      </c>
      <c r="N54" s="48">
        <v>72600</v>
      </c>
      <c r="O54" s="32">
        <v>359539</v>
      </c>
      <c r="P54" s="49"/>
      <c r="Q54" s="157"/>
      <c r="R54" s="212"/>
      <c r="S54" s="229"/>
      <c r="T54" s="229"/>
      <c r="U54" s="235">
        <f t="shared" si="0"/>
        <v>0</v>
      </c>
      <c r="X54" s="149"/>
    </row>
    <row r="55" spans="1:24" s="16" customFormat="1" ht="29.25" customHeight="1">
      <c r="A55" s="416"/>
      <c r="B55" s="417"/>
      <c r="C55" s="437" t="s">
        <v>127</v>
      </c>
      <c r="D55" s="437"/>
      <c r="E55" s="437"/>
      <c r="F55" s="420"/>
      <c r="G55" s="60"/>
      <c r="H55" s="60"/>
      <c r="I55" s="60"/>
      <c r="J55" s="60"/>
      <c r="K55" s="116" t="s">
        <v>16</v>
      </c>
      <c r="L55" s="115" t="s">
        <v>54</v>
      </c>
      <c r="M55" s="116" t="s">
        <v>22</v>
      </c>
      <c r="N55" s="48">
        <v>71600</v>
      </c>
      <c r="O55" s="32">
        <v>10000</v>
      </c>
      <c r="P55" s="49"/>
      <c r="Q55" s="157"/>
      <c r="R55" s="212"/>
      <c r="S55" s="229">
        <v>5000</v>
      </c>
      <c r="T55" s="229">
        <v>4500</v>
      </c>
      <c r="U55" s="235">
        <f t="shared" si="0"/>
        <v>9500</v>
      </c>
      <c r="X55" s="149"/>
    </row>
    <row r="56" spans="1:24" s="16" customFormat="1" ht="27" customHeight="1">
      <c r="A56" s="416"/>
      <c r="B56" s="417"/>
      <c r="C56" s="420" t="s">
        <v>128</v>
      </c>
      <c r="D56" s="421"/>
      <c r="E56" s="421"/>
      <c r="F56" s="422"/>
      <c r="G56" s="106"/>
      <c r="H56" s="106"/>
      <c r="I56" s="106"/>
      <c r="J56" s="106"/>
      <c r="K56" s="50" t="s">
        <v>16</v>
      </c>
      <c r="L56" s="51" t="s">
        <v>54</v>
      </c>
      <c r="M56" s="50" t="s">
        <v>22</v>
      </c>
      <c r="N56" s="48">
        <v>75700</v>
      </c>
      <c r="O56" s="32">
        <v>5000</v>
      </c>
      <c r="P56" s="49"/>
      <c r="Q56" s="157"/>
      <c r="R56" s="212"/>
      <c r="S56" s="229">
        <v>1140</v>
      </c>
      <c r="T56" s="229">
        <v>1440</v>
      </c>
      <c r="U56" s="235">
        <f t="shared" si="0"/>
        <v>2580</v>
      </c>
      <c r="X56" s="149"/>
    </row>
    <row r="57" spans="1:24" s="16" customFormat="1" ht="15" customHeight="1">
      <c r="A57" s="416"/>
      <c r="B57" s="417"/>
      <c r="C57" s="269" t="s">
        <v>129</v>
      </c>
      <c r="D57" s="270"/>
      <c r="E57" s="270"/>
      <c r="F57" s="271"/>
      <c r="G57" s="311"/>
      <c r="H57" s="311"/>
      <c r="I57" s="311"/>
      <c r="J57" s="311"/>
      <c r="K57" s="74" t="s">
        <v>16</v>
      </c>
      <c r="L57" s="102" t="s">
        <v>54</v>
      </c>
      <c r="M57" s="74" t="s">
        <v>22</v>
      </c>
      <c r="N57" s="74" t="s">
        <v>93</v>
      </c>
      <c r="O57" s="32">
        <v>20000</v>
      </c>
      <c r="P57" s="49"/>
      <c r="Q57" s="157"/>
      <c r="R57" s="212"/>
      <c r="S57" s="229"/>
      <c r="T57" s="229"/>
      <c r="U57" s="235">
        <f t="shared" si="0"/>
        <v>0</v>
      </c>
      <c r="X57" s="149"/>
    </row>
    <row r="58" spans="1:24" s="16" customFormat="1" ht="14.25" customHeight="1">
      <c r="A58" s="416"/>
      <c r="B58" s="417"/>
      <c r="C58" s="295"/>
      <c r="D58" s="296"/>
      <c r="E58" s="296"/>
      <c r="F58" s="297"/>
      <c r="G58" s="314"/>
      <c r="H58" s="314"/>
      <c r="I58" s="314"/>
      <c r="J58" s="314"/>
      <c r="K58" s="74" t="s">
        <v>16</v>
      </c>
      <c r="L58" s="115" t="s">
        <v>54</v>
      </c>
      <c r="M58" s="74" t="s">
        <v>22</v>
      </c>
      <c r="N58" s="115" t="s">
        <v>25</v>
      </c>
      <c r="O58" s="195">
        <v>0</v>
      </c>
      <c r="P58" s="49"/>
      <c r="Q58" s="157"/>
      <c r="R58" s="212"/>
      <c r="S58" s="229"/>
      <c r="T58" s="229"/>
      <c r="U58" s="235">
        <f t="shared" si="0"/>
        <v>0</v>
      </c>
      <c r="X58" s="149"/>
    </row>
    <row r="59" spans="1:24" s="16" customFormat="1" ht="12.75" customHeight="1">
      <c r="A59" s="416"/>
      <c r="B59" s="417"/>
      <c r="C59" s="272"/>
      <c r="D59" s="273"/>
      <c r="E59" s="273"/>
      <c r="F59" s="274"/>
      <c r="G59" s="314"/>
      <c r="H59" s="314"/>
      <c r="I59" s="314"/>
      <c r="J59" s="314"/>
      <c r="K59" s="74" t="s">
        <v>16</v>
      </c>
      <c r="L59" s="102" t="s">
        <v>54</v>
      </c>
      <c r="M59" s="102" t="s">
        <v>22</v>
      </c>
      <c r="N59" s="102" t="s">
        <v>41</v>
      </c>
      <c r="O59" s="32">
        <v>2000</v>
      </c>
      <c r="P59" s="49"/>
      <c r="Q59" s="157"/>
      <c r="R59" s="212"/>
      <c r="S59" s="229">
        <v>5000</v>
      </c>
      <c r="T59" s="229">
        <f>5*500+5*500</f>
        <v>5000</v>
      </c>
      <c r="U59" s="235">
        <f t="shared" si="0"/>
        <v>10000</v>
      </c>
      <c r="W59" s="245"/>
      <c r="X59" s="246"/>
    </row>
    <row r="60" spans="1:21" s="16" customFormat="1" ht="24" customHeight="1">
      <c r="A60" s="416"/>
      <c r="B60" s="417"/>
      <c r="C60" s="471" t="s">
        <v>130</v>
      </c>
      <c r="D60" s="471"/>
      <c r="E60" s="471"/>
      <c r="F60" s="471"/>
      <c r="G60" s="424"/>
      <c r="H60" s="424"/>
      <c r="I60" s="424"/>
      <c r="J60" s="424"/>
      <c r="K60" s="74" t="s">
        <v>16</v>
      </c>
      <c r="L60" s="102" t="s">
        <v>54</v>
      </c>
      <c r="M60" s="74" t="s">
        <v>22</v>
      </c>
      <c r="N60" s="74">
        <v>71600</v>
      </c>
      <c r="O60" s="32">
        <v>2000</v>
      </c>
      <c r="P60" s="49"/>
      <c r="Q60" s="157"/>
      <c r="R60" s="212"/>
      <c r="S60" s="229"/>
      <c r="T60" s="229"/>
      <c r="U60" s="235">
        <f t="shared" si="0"/>
        <v>0</v>
      </c>
    </row>
    <row r="61" spans="1:21" s="16" customFormat="1" ht="24" customHeight="1">
      <c r="A61" s="416"/>
      <c r="B61" s="417"/>
      <c r="C61" s="471"/>
      <c r="D61" s="471"/>
      <c r="E61" s="471"/>
      <c r="F61" s="471"/>
      <c r="G61" s="424"/>
      <c r="H61" s="424"/>
      <c r="I61" s="424"/>
      <c r="J61" s="424"/>
      <c r="K61" s="207" t="s">
        <v>16</v>
      </c>
      <c r="L61" s="206" t="s">
        <v>54</v>
      </c>
      <c r="M61" s="207" t="s">
        <v>22</v>
      </c>
      <c r="N61" s="48">
        <v>75700</v>
      </c>
      <c r="O61" s="32">
        <v>10000</v>
      </c>
      <c r="P61" s="49"/>
      <c r="Q61" s="157"/>
      <c r="R61" s="212"/>
      <c r="S61" s="229">
        <v>11680</v>
      </c>
      <c r="T61" s="230">
        <f>6*4*30*2+10000</f>
        <v>11440</v>
      </c>
      <c r="U61" s="235">
        <f t="shared" si="0"/>
        <v>23120</v>
      </c>
    </row>
    <row r="62" spans="1:21" s="16" customFormat="1" ht="19.5" customHeight="1">
      <c r="A62" s="416"/>
      <c r="B62" s="417"/>
      <c r="C62" s="471"/>
      <c r="D62" s="471"/>
      <c r="E62" s="471"/>
      <c r="F62" s="471"/>
      <c r="G62" s="424"/>
      <c r="H62" s="424"/>
      <c r="I62" s="424"/>
      <c r="J62" s="424"/>
      <c r="K62" s="74" t="s">
        <v>16</v>
      </c>
      <c r="L62" s="102" t="s">
        <v>54</v>
      </c>
      <c r="M62" s="74" t="s">
        <v>22</v>
      </c>
      <c r="N62" s="201" t="s">
        <v>41</v>
      </c>
      <c r="O62" s="32">
        <v>5290.57</v>
      </c>
      <c r="P62" s="49"/>
      <c r="Q62" s="157"/>
      <c r="R62" s="212"/>
      <c r="S62" s="229"/>
      <c r="T62" s="229"/>
      <c r="U62" s="235">
        <f t="shared" si="0"/>
        <v>0</v>
      </c>
    </row>
    <row r="63" spans="1:21" s="16" customFormat="1" ht="19.5" customHeight="1">
      <c r="A63" s="416"/>
      <c r="B63" s="417"/>
      <c r="C63" s="254" t="s">
        <v>140</v>
      </c>
      <c r="D63" s="255"/>
      <c r="E63" s="255"/>
      <c r="F63" s="256"/>
      <c r="G63" s="200"/>
      <c r="H63" s="200"/>
      <c r="I63" s="200"/>
      <c r="J63" s="200"/>
      <c r="K63" s="6" t="s">
        <v>16</v>
      </c>
      <c r="L63" s="7" t="s">
        <v>54</v>
      </c>
      <c r="M63" s="7" t="s">
        <v>22</v>
      </c>
      <c r="N63" s="6">
        <v>71600</v>
      </c>
      <c r="O63" s="191">
        <v>17000</v>
      </c>
      <c r="P63" s="49"/>
      <c r="Q63" s="157"/>
      <c r="R63" s="212"/>
      <c r="S63" s="229"/>
      <c r="T63" s="229"/>
      <c r="U63" s="235">
        <f t="shared" si="0"/>
        <v>0</v>
      </c>
    </row>
    <row r="64" spans="1:21" s="16" customFormat="1" ht="15" customHeight="1">
      <c r="A64" s="416"/>
      <c r="B64" s="417"/>
      <c r="C64" s="423" t="s">
        <v>40</v>
      </c>
      <c r="D64" s="384"/>
      <c r="E64" s="384"/>
      <c r="F64" s="384"/>
      <c r="G64" s="318"/>
      <c r="H64" s="318"/>
      <c r="I64" s="318"/>
      <c r="J64" s="319"/>
      <c r="K64" s="50" t="s">
        <v>16</v>
      </c>
      <c r="L64" s="51" t="s">
        <v>54</v>
      </c>
      <c r="M64" s="50" t="s">
        <v>22</v>
      </c>
      <c r="N64" s="23">
        <v>75100</v>
      </c>
      <c r="O64" s="195">
        <f>(SUM(O50:O63)-O53)*0.07</f>
        <v>45341.2099</v>
      </c>
      <c r="P64" s="49"/>
      <c r="Q64" s="49"/>
      <c r="R64" s="217"/>
      <c r="S64" s="195" t="e">
        <f>(SUM(S50:S63)-#REF!)*0.07</f>
        <v>#REF!</v>
      </c>
      <c r="T64" s="229">
        <f>SUM(T50:T63)*7/100</f>
        <v>10511.6199999881</v>
      </c>
      <c r="U64" s="235" t="e">
        <f t="shared" si="0"/>
        <v>#REF!</v>
      </c>
    </row>
    <row r="65" spans="1:21" s="16" customFormat="1" ht="15" customHeight="1">
      <c r="A65" s="416"/>
      <c r="B65" s="417"/>
      <c r="C65" s="463" t="s">
        <v>38</v>
      </c>
      <c r="D65" s="464"/>
      <c r="E65" s="464"/>
      <c r="F65" s="464"/>
      <c r="G65" s="464"/>
      <c r="H65" s="464"/>
      <c r="I65" s="464"/>
      <c r="J65" s="464"/>
      <c r="K65" s="464"/>
      <c r="L65" s="464"/>
      <c r="M65" s="464"/>
      <c r="N65" s="465"/>
      <c r="O65" s="142">
        <f>SUM(O50:O64)</f>
        <v>925838.7799</v>
      </c>
      <c r="P65" s="142"/>
      <c r="Q65" s="142"/>
      <c r="R65" s="218"/>
      <c r="S65" s="142" t="e">
        <f>SUM(S50:S64)</f>
        <v>#REF!</v>
      </c>
      <c r="T65" s="232">
        <f>SUM(T50:T64)</f>
        <v>160677.6199998181</v>
      </c>
      <c r="U65" s="237" t="e">
        <f t="shared" si="0"/>
        <v>#REF!</v>
      </c>
    </row>
    <row r="66" spans="1:21" s="16" customFormat="1" ht="15" customHeight="1">
      <c r="A66" s="131"/>
      <c r="B66" s="131"/>
      <c r="C66" s="466" t="s">
        <v>105</v>
      </c>
      <c r="D66" s="467"/>
      <c r="E66" s="467"/>
      <c r="F66" s="467"/>
      <c r="G66" s="467"/>
      <c r="H66" s="467"/>
      <c r="I66" s="467"/>
      <c r="J66" s="467"/>
      <c r="K66" s="467"/>
      <c r="L66" s="467"/>
      <c r="M66" s="467"/>
      <c r="N66" s="468"/>
      <c r="O66" s="98">
        <f>O33+O48+O65</f>
        <v>1127477.9794</v>
      </c>
      <c r="P66" s="98"/>
      <c r="Q66" s="101"/>
      <c r="R66" s="213"/>
      <c r="S66" s="101" t="e">
        <f>S33+S48+S65</f>
        <v>#REF!</v>
      </c>
      <c r="T66" s="228">
        <f>T33+T48+T65</f>
        <v>229885.2199998181</v>
      </c>
      <c r="U66" s="237" t="e">
        <f t="shared" si="0"/>
        <v>#REF!</v>
      </c>
    </row>
    <row r="67" spans="1:21" s="16" customFormat="1" ht="13.5" customHeight="1">
      <c r="A67" s="131"/>
      <c r="B67" s="131"/>
      <c r="C67" s="64"/>
      <c r="D67" s="59"/>
      <c r="E67" s="59"/>
      <c r="F67" s="59"/>
      <c r="G67" s="65"/>
      <c r="H67" s="65"/>
      <c r="I67" s="65"/>
      <c r="J67" s="66"/>
      <c r="K67" s="346" t="s">
        <v>26</v>
      </c>
      <c r="L67" s="347"/>
      <c r="M67" s="347"/>
      <c r="N67" s="347"/>
      <c r="O67" s="99">
        <f>O53</f>
        <v>232766</v>
      </c>
      <c r="P67" s="99" t="e">
        <f>#REF!</f>
        <v>#REF!</v>
      </c>
      <c r="Q67" s="99" t="e">
        <f>#REF!</f>
        <v>#REF!</v>
      </c>
      <c r="R67" s="99" t="e">
        <f>#REF!</f>
        <v>#REF!</v>
      </c>
      <c r="S67" s="99" t="e">
        <f>#REF!</f>
        <v>#REF!</v>
      </c>
      <c r="T67" s="99" t="e">
        <f>#REF!</f>
        <v>#REF!</v>
      </c>
      <c r="U67" s="99" t="e">
        <f>#REF!</f>
        <v>#REF!</v>
      </c>
    </row>
    <row r="68" spans="1:21" s="16" customFormat="1" ht="12" customHeight="1">
      <c r="A68" s="132"/>
      <c r="B68" s="133"/>
      <c r="C68" s="69"/>
      <c r="D68" s="58"/>
      <c r="E68" s="58"/>
      <c r="F68" s="58"/>
      <c r="G68" s="70"/>
      <c r="H68" s="70"/>
      <c r="I68" s="70"/>
      <c r="J68" s="71"/>
      <c r="K68" s="432" t="s">
        <v>27</v>
      </c>
      <c r="L68" s="433"/>
      <c r="M68" s="433"/>
      <c r="N68" s="433"/>
      <c r="O68" s="99">
        <f>O66-O67</f>
        <v>894711.9794000001</v>
      </c>
      <c r="P68" s="99" t="e">
        <f aca="true" t="shared" si="1" ref="P68:U68">P66-P67</f>
        <v>#REF!</v>
      </c>
      <c r="Q68" s="99" t="e">
        <f t="shared" si="1"/>
        <v>#REF!</v>
      </c>
      <c r="R68" s="99" t="e">
        <f t="shared" si="1"/>
        <v>#REF!</v>
      </c>
      <c r="S68" s="99" t="e">
        <f t="shared" si="1"/>
        <v>#REF!</v>
      </c>
      <c r="T68" s="99" t="e">
        <f t="shared" si="1"/>
        <v>#REF!</v>
      </c>
      <c r="U68" s="99" t="e">
        <f t="shared" si="1"/>
        <v>#REF!</v>
      </c>
    </row>
    <row r="69" spans="1:21" s="16" customFormat="1" ht="15" customHeight="1">
      <c r="A69" s="447" t="s">
        <v>106</v>
      </c>
      <c r="B69" s="447"/>
      <c r="C69" s="428"/>
      <c r="D69" s="429"/>
      <c r="E69" s="429"/>
      <c r="F69" s="429"/>
      <c r="G69" s="429"/>
      <c r="H69" s="429"/>
      <c r="I69" s="429"/>
      <c r="J69" s="429"/>
      <c r="K69" s="429"/>
      <c r="L69" s="429"/>
      <c r="M69" s="429"/>
      <c r="N69" s="429"/>
      <c r="O69" s="430"/>
      <c r="P69" s="170"/>
      <c r="S69" s="229"/>
      <c r="T69" s="229"/>
      <c r="U69" s="235">
        <f t="shared" si="0"/>
        <v>0</v>
      </c>
    </row>
    <row r="70" spans="1:21" s="16" customFormat="1" ht="15" customHeight="1">
      <c r="A70" s="354" t="s">
        <v>32</v>
      </c>
      <c r="B70" s="381"/>
      <c r="C70" s="354" t="s">
        <v>31</v>
      </c>
      <c r="D70" s="355"/>
      <c r="E70" s="355"/>
      <c r="F70" s="381"/>
      <c r="G70" s="454" t="s">
        <v>6</v>
      </c>
      <c r="H70" s="455"/>
      <c r="I70" s="455"/>
      <c r="J70" s="456"/>
      <c r="K70" s="309" t="s">
        <v>7</v>
      </c>
      <c r="L70" s="309" t="s">
        <v>8</v>
      </c>
      <c r="M70" s="310"/>
      <c r="N70" s="310"/>
      <c r="O70" s="310"/>
      <c r="P70" s="167"/>
      <c r="Q70" s="461"/>
      <c r="R70" s="462"/>
      <c r="S70" s="229"/>
      <c r="T70" s="229"/>
      <c r="U70" s="235">
        <f t="shared" si="0"/>
        <v>0</v>
      </c>
    </row>
    <row r="71" spans="1:21" s="16" customFormat="1" ht="27" customHeight="1">
      <c r="A71" s="356"/>
      <c r="B71" s="453"/>
      <c r="C71" s="356"/>
      <c r="D71" s="357"/>
      <c r="E71" s="357"/>
      <c r="F71" s="453"/>
      <c r="G71" s="94" t="s">
        <v>9</v>
      </c>
      <c r="H71" s="94" t="s">
        <v>10</v>
      </c>
      <c r="I71" s="94" t="s">
        <v>11</v>
      </c>
      <c r="J71" s="94" t="s">
        <v>12</v>
      </c>
      <c r="K71" s="309"/>
      <c r="L71" s="94" t="s">
        <v>13</v>
      </c>
      <c r="M71" s="94" t="s">
        <v>14</v>
      </c>
      <c r="N71" s="94" t="s">
        <v>15</v>
      </c>
      <c r="O71" s="94" t="s">
        <v>61</v>
      </c>
      <c r="P71" s="94"/>
      <c r="Q71" s="94"/>
      <c r="R71" s="211"/>
      <c r="S71" s="229"/>
      <c r="T71" s="229"/>
      <c r="U71" s="235">
        <f t="shared" si="0"/>
        <v>0</v>
      </c>
    </row>
    <row r="72" spans="1:21" s="16" customFormat="1" ht="20.25" customHeight="1">
      <c r="A72" s="478" t="s">
        <v>74</v>
      </c>
      <c r="B72" s="479"/>
      <c r="C72" s="448" t="s">
        <v>76</v>
      </c>
      <c r="D72" s="449"/>
      <c r="E72" s="449"/>
      <c r="F72" s="449"/>
      <c r="G72" s="449"/>
      <c r="H72" s="449"/>
      <c r="I72" s="449"/>
      <c r="J72" s="449"/>
      <c r="K72" s="449"/>
      <c r="L72" s="449"/>
      <c r="M72" s="449"/>
      <c r="N72" s="449"/>
      <c r="O72" s="449"/>
      <c r="P72" s="171"/>
      <c r="S72" s="229"/>
      <c r="T72" s="229"/>
      <c r="U72" s="235">
        <f t="shared" si="0"/>
        <v>0</v>
      </c>
    </row>
    <row r="73" spans="1:21" s="16" customFormat="1" ht="23.25" customHeight="1">
      <c r="A73" s="474" t="s">
        <v>75</v>
      </c>
      <c r="B73" s="475"/>
      <c r="C73" s="269" t="s">
        <v>148</v>
      </c>
      <c r="D73" s="270"/>
      <c r="E73" s="270"/>
      <c r="F73" s="271"/>
      <c r="G73" s="180"/>
      <c r="H73" s="180"/>
      <c r="I73" s="180"/>
      <c r="J73" s="180"/>
      <c r="K73" s="50" t="s">
        <v>16</v>
      </c>
      <c r="L73" s="50" t="s">
        <v>54</v>
      </c>
      <c r="M73" s="50" t="s">
        <v>22</v>
      </c>
      <c r="N73" s="47">
        <v>74200</v>
      </c>
      <c r="O73" s="32">
        <v>4824.65</v>
      </c>
      <c r="P73" s="49"/>
      <c r="Q73" s="156"/>
      <c r="R73" s="212"/>
      <c r="S73" s="229"/>
      <c r="T73" s="229"/>
      <c r="U73" s="235">
        <f t="shared" si="0"/>
        <v>0</v>
      </c>
    </row>
    <row r="74" spans="1:24" s="16" customFormat="1" ht="23.25" customHeight="1">
      <c r="A74" s="476"/>
      <c r="B74" s="477"/>
      <c r="C74" s="295"/>
      <c r="D74" s="296"/>
      <c r="E74" s="296"/>
      <c r="F74" s="297"/>
      <c r="G74" s="204"/>
      <c r="H74" s="204"/>
      <c r="I74" s="204"/>
      <c r="J74" s="204"/>
      <c r="K74" s="202" t="s">
        <v>16</v>
      </c>
      <c r="L74" s="202" t="s">
        <v>54</v>
      </c>
      <c r="M74" s="202" t="s">
        <v>22</v>
      </c>
      <c r="N74" s="47">
        <v>74200</v>
      </c>
      <c r="O74" s="32">
        <v>10581.15</v>
      </c>
      <c r="P74" s="49"/>
      <c r="Q74" s="156"/>
      <c r="R74" s="212"/>
      <c r="S74" s="229"/>
      <c r="T74" s="229"/>
      <c r="U74" s="235">
        <f t="shared" si="0"/>
        <v>0</v>
      </c>
      <c r="X74" s="149"/>
    </row>
    <row r="75" spans="1:21" s="16" customFormat="1" ht="23.25" customHeight="1">
      <c r="A75" s="476"/>
      <c r="B75" s="477"/>
      <c r="C75" s="295"/>
      <c r="D75" s="296"/>
      <c r="E75" s="296"/>
      <c r="F75" s="297"/>
      <c r="G75" s="204"/>
      <c r="H75" s="204"/>
      <c r="I75" s="204"/>
      <c r="J75" s="204"/>
      <c r="K75" s="202" t="s">
        <v>16</v>
      </c>
      <c r="L75" s="74" t="s">
        <v>54</v>
      </c>
      <c r="M75" s="202" t="s">
        <v>22</v>
      </c>
      <c r="N75" s="48">
        <v>75700</v>
      </c>
      <c r="O75" s="32">
        <f>12*3*150*0.901+10000</f>
        <v>14865.400000000001</v>
      </c>
      <c r="P75" s="49"/>
      <c r="Q75" s="156"/>
      <c r="R75" s="212"/>
      <c r="S75" s="229">
        <f>23400</f>
        <v>23400</v>
      </c>
      <c r="T75" s="229"/>
      <c r="U75" s="235">
        <f t="shared" si="0"/>
        <v>23400</v>
      </c>
    </row>
    <row r="76" spans="1:24" s="16" customFormat="1" ht="25.5" customHeight="1">
      <c r="A76" s="476"/>
      <c r="B76" s="477"/>
      <c r="C76" s="272"/>
      <c r="D76" s="273"/>
      <c r="E76" s="273"/>
      <c r="F76" s="274"/>
      <c r="G76" s="181"/>
      <c r="H76" s="181"/>
      <c r="I76" s="181"/>
      <c r="J76" s="181"/>
      <c r="K76" s="50" t="s">
        <v>16</v>
      </c>
      <c r="L76" s="74" t="s">
        <v>54</v>
      </c>
      <c r="M76" s="50" t="s">
        <v>22</v>
      </c>
      <c r="N76" s="48">
        <v>75700</v>
      </c>
      <c r="O76" s="32">
        <f>12*2*260*0.901</f>
        <v>5622.24</v>
      </c>
      <c r="P76" s="49"/>
      <c r="Q76" s="156"/>
      <c r="R76" s="212"/>
      <c r="S76" s="229">
        <v>2300</v>
      </c>
      <c r="T76" s="229"/>
      <c r="U76" s="235">
        <f t="shared" si="0"/>
        <v>2300</v>
      </c>
      <c r="X76" s="149"/>
    </row>
    <row r="77" spans="1:24" s="16" customFormat="1" ht="19.5" customHeight="1">
      <c r="A77" s="443" t="s">
        <v>98</v>
      </c>
      <c r="B77" s="444"/>
      <c r="C77" s="269" t="s">
        <v>163</v>
      </c>
      <c r="D77" s="270"/>
      <c r="E77" s="270"/>
      <c r="F77" s="271"/>
      <c r="G77" s="180"/>
      <c r="H77" s="180"/>
      <c r="I77" s="180"/>
      <c r="J77" s="180"/>
      <c r="K77" s="116" t="s">
        <v>16</v>
      </c>
      <c r="L77" s="116" t="s">
        <v>54</v>
      </c>
      <c r="M77" s="116" t="s">
        <v>22</v>
      </c>
      <c r="N77" s="47">
        <v>72200</v>
      </c>
      <c r="O77" s="195">
        <v>0</v>
      </c>
      <c r="P77" s="49"/>
      <c r="Q77" s="156"/>
      <c r="R77" s="212"/>
      <c r="S77" s="229"/>
      <c r="T77" s="229"/>
      <c r="U77" s="235">
        <f t="shared" si="0"/>
        <v>0</v>
      </c>
      <c r="X77" s="149"/>
    </row>
    <row r="78" spans="1:21" s="16" customFormat="1" ht="19.5" customHeight="1">
      <c r="A78" s="443"/>
      <c r="B78" s="444"/>
      <c r="C78" s="295"/>
      <c r="D78" s="296"/>
      <c r="E78" s="296"/>
      <c r="F78" s="297"/>
      <c r="G78" s="209"/>
      <c r="H78" s="209"/>
      <c r="I78" s="209"/>
      <c r="J78" s="209"/>
      <c r="K78" s="210" t="s">
        <v>16</v>
      </c>
      <c r="L78" s="74" t="s">
        <v>54</v>
      </c>
      <c r="M78" s="210" t="s">
        <v>22</v>
      </c>
      <c r="N78" s="48">
        <v>75700</v>
      </c>
      <c r="O78" s="195"/>
      <c r="P78" s="49"/>
      <c r="Q78" s="156"/>
      <c r="R78" s="212"/>
      <c r="S78" s="229">
        <v>32200</v>
      </c>
      <c r="T78" s="229"/>
      <c r="U78" s="235"/>
    </row>
    <row r="79" spans="1:24" s="16" customFormat="1" ht="17.25" customHeight="1">
      <c r="A79" s="443"/>
      <c r="B79" s="444"/>
      <c r="C79" s="295"/>
      <c r="D79" s="296"/>
      <c r="E79" s="296"/>
      <c r="F79" s="297"/>
      <c r="G79" s="61"/>
      <c r="H79" s="61"/>
      <c r="I79" s="61"/>
      <c r="J79" s="61"/>
      <c r="K79" s="116" t="s">
        <v>16</v>
      </c>
      <c r="L79" s="115" t="s">
        <v>54</v>
      </c>
      <c r="M79" s="116" t="s">
        <v>22</v>
      </c>
      <c r="N79" s="48">
        <v>72800</v>
      </c>
      <c r="O79" s="195">
        <v>0</v>
      </c>
      <c r="P79" s="49"/>
      <c r="Q79" s="156"/>
      <c r="R79" s="212"/>
      <c r="S79" s="229"/>
      <c r="T79" s="229"/>
      <c r="U79" s="235">
        <f aca="true" t="shared" si="2" ref="U79:U142">S79+T79</f>
        <v>0</v>
      </c>
      <c r="X79" s="149"/>
    </row>
    <row r="80" spans="1:24" s="16" customFormat="1" ht="18" customHeight="1">
      <c r="A80" s="443"/>
      <c r="B80" s="444"/>
      <c r="C80" s="289" t="s">
        <v>164</v>
      </c>
      <c r="D80" s="290"/>
      <c r="E80" s="290"/>
      <c r="F80" s="291"/>
      <c r="G80" s="278"/>
      <c r="H80" s="278"/>
      <c r="I80" s="278"/>
      <c r="J80" s="278"/>
      <c r="K80" s="116" t="s">
        <v>16</v>
      </c>
      <c r="L80" s="115" t="s">
        <v>54</v>
      </c>
      <c r="M80" s="116" t="s">
        <v>22</v>
      </c>
      <c r="N80" s="48">
        <v>71300</v>
      </c>
      <c r="O80" s="32">
        <v>15000</v>
      </c>
      <c r="P80" s="49"/>
      <c r="Q80" s="156"/>
      <c r="R80" s="212"/>
      <c r="S80" s="229">
        <v>6000</v>
      </c>
      <c r="T80" s="229"/>
      <c r="U80" s="235">
        <f t="shared" si="2"/>
        <v>6000</v>
      </c>
      <c r="X80" s="149"/>
    </row>
    <row r="81" spans="1:24" s="16" customFormat="1" ht="15" customHeight="1">
      <c r="A81" s="443"/>
      <c r="B81" s="444"/>
      <c r="C81" s="450"/>
      <c r="D81" s="451"/>
      <c r="E81" s="451"/>
      <c r="F81" s="452"/>
      <c r="G81" s="279"/>
      <c r="H81" s="279"/>
      <c r="I81" s="279"/>
      <c r="J81" s="279"/>
      <c r="K81" s="50" t="s">
        <v>16</v>
      </c>
      <c r="L81" s="51" t="s">
        <v>54</v>
      </c>
      <c r="M81" s="50" t="s">
        <v>22</v>
      </c>
      <c r="N81" s="48">
        <v>71600</v>
      </c>
      <c r="O81" s="32">
        <v>2000</v>
      </c>
      <c r="P81" s="49"/>
      <c r="Q81" s="156"/>
      <c r="R81" s="212"/>
      <c r="S81" s="229"/>
      <c r="T81" s="229"/>
      <c r="U81" s="235">
        <f t="shared" si="2"/>
        <v>0</v>
      </c>
      <c r="X81" s="149"/>
    </row>
    <row r="82" spans="1:24" s="16" customFormat="1" ht="17.25" customHeight="1">
      <c r="A82" s="443"/>
      <c r="B82" s="444"/>
      <c r="C82" s="292"/>
      <c r="D82" s="293"/>
      <c r="E82" s="293"/>
      <c r="F82" s="294"/>
      <c r="G82" s="280"/>
      <c r="H82" s="280"/>
      <c r="I82" s="280"/>
      <c r="J82" s="280"/>
      <c r="K82" s="50" t="s">
        <v>16</v>
      </c>
      <c r="L82" s="51" t="s">
        <v>54</v>
      </c>
      <c r="M82" s="50" t="s">
        <v>22</v>
      </c>
      <c r="N82" s="48">
        <v>75700</v>
      </c>
      <c r="O82" s="32">
        <v>5000</v>
      </c>
      <c r="P82" s="49"/>
      <c r="Q82" s="156"/>
      <c r="R82" s="212"/>
      <c r="S82" s="229"/>
      <c r="T82" s="229"/>
      <c r="U82" s="235">
        <f t="shared" si="2"/>
        <v>0</v>
      </c>
      <c r="W82" s="245"/>
      <c r="X82" s="246"/>
    </row>
    <row r="83" spans="1:21" s="16" customFormat="1" ht="25.5" customHeight="1">
      <c r="A83" s="443"/>
      <c r="B83" s="444"/>
      <c r="C83" s="421" t="s">
        <v>165</v>
      </c>
      <c r="D83" s="421"/>
      <c r="E83" s="421"/>
      <c r="F83" s="422"/>
      <c r="G83" s="62"/>
      <c r="H83" s="62"/>
      <c r="I83" s="62"/>
      <c r="J83" s="62"/>
      <c r="K83" s="50" t="s">
        <v>16</v>
      </c>
      <c r="L83" s="51" t="s">
        <v>54</v>
      </c>
      <c r="M83" s="50" t="s">
        <v>22</v>
      </c>
      <c r="N83" s="48">
        <v>72600</v>
      </c>
      <c r="O83" s="32">
        <v>405766.64</v>
      </c>
      <c r="P83" s="49"/>
      <c r="Q83" s="156"/>
      <c r="R83" s="212"/>
      <c r="S83" s="229">
        <f>192000+44000</f>
        <v>236000</v>
      </c>
      <c r="T83" s="229"/>
      <c r="U83" s="235">
        <f t="shared" si="2"/>
        <v>236000</v>
      </c>
    </row>
    <row r="84" spans="1:21" s="16" customFormat="1" ht="26.25" customHeight="1">
      <c r="A84" s="443"/>
      <c r="B84" s="444"/>
      <c r="C84" s="289" t="s">
        <v>166</v>
      </c>
      <c r="D84" s="290"/>
      <c r="E84" s="290"/>
      <c r="F84" s="291"/>
      <c r="G84" s="62"/>
      <c r="H84" s="62"/>
      <c r="I84" s="62"/>
      <c r="J84" s="62"/>
      <c r="K84" s="50" t="s">
        <v>16</v>
      </c>
      <c r="L84" s="51" t="s">
        <v>54</v>
      </c>
      <c r="M84" s="50" t="s">
        <v>22</v>
      </c>
      <c r="N84" s="48">
        <v>71600</v>
      </c>
      <c r="O84" s="32">
        <v>5000</v>
      </c>
      <c r="P84" s="49"/>
      <c r="Q84" s="156"/>
      <c r="R84" s="212"/>
      <c r="S84" s="229">
        <v>3600</v>
      </c>
      <c r="T84" s="229"/>
      <c r="U84" s="235">
        <f t="shared" si="2"/>
        <v>3600</v>
      </c>
    </row>
    <row r="85" spans="1:21" s="16" customFormat="1" ht="26.25" customHeight="1">
      <c r="A85" s="443"/>
      <c r="B85" s="444"/>
      <c r="C85" s="254" t="s">
        <v>140</v>
      </c>
      <c r="D85" s="255"/>
      <c r="E85" s="255"/>
      <c r="F85" s="256"/>
      <c r="G85" s="200"/>
      <c r="H85" s="200"/>
      <c r="I85" s="200"/>
      <c r="J85" s="200"/>
      <c r="K85" s="6" t="s">
        <v>16</v>
      </c>
      <c r="L85" s="7" t="s">
        <v>54</v>
      </c>
      <c r="M85" s="7" t="s">
        <v>22</v>
      </c>
      <c r="N85" s="6">
        <v>71600</v>
      </c>
      <c r="O85" s="191">
        <v>7000</v>
      </c>
      <c r="P85" s="49"/>
      <c r="Q85" s="156"/>
      <c r="R85" s="212"/>
      <c r="S85" s="229"/>
      <c r="T85" s="229"/>
      <c r="U85" s="235">
        <f t="shared" si="2"/>
        <v>0</v>
      </c>
    </row>
    <row r="86" spans="1:21" s="16" customFormat="1" ht="18" customHeight="1">
      <c r="A86" s="443"/>
      <c r="B86" s="444"/>
      <c r="C86" s="384" t="s">
        <v>40</v>
      </c>
      <c r="D86" s="384"/>
      <c r="E86" s="384"/>
      <c r="F86" s="384"/>
      <c r="G86" s="317"/>
      <c r="H86" s="318"/>
      <c r="I86" s="318"/>
      <c r="J86" s="319"/>
      <c r="K86" s="50" t="s">
        <v>16</v>
      </c>
      <c r="L86" s="51" t="s">
        <v>54</v>
      </c>
      <c r="M86" s="50" t="s">
        <v>22</v>
      </c>
      <c r="N86" s="23">
        <v>75100</v>
      </c>
      <c r="O86" s="195">
        <f>SUM(O73:O85)*0.07</f>
        <v>33296.2056</v>
      </c>
      <c r="P86" s="49"/>
      <c r="Q86" s="49"/>
      <c r="R86" s="212"/>
      <c r="S86" s="195">
        <f>SUM(S73:S85)*0.07</f>
        <v>21245.000000000004</v>
      </c>
      <c r="T86" s="195">
        <f>SUM(T73:T85)*0.07</f>
        <v>0</v>
      </c>
      <c r="U86" s="235">
        <f t="shared" si="2"/>
        <v>21245.000000000004</v>
      </c>
    </row>
    <row r="87" spans="1:21" s="16" customFormat="1" ht="16.5" customHeight="1">
      <c r="A87" s="443"/>
      <c r="B87" s="444"/>
      <c r="C87" s="322" t="s">
        <v>38</v>
      </c>
      <c r="D87" s="323"/>
      <c r="E87" s="323"/>
      <c r="F87" s="323"/>
      <c r="G87" s="323"/>
      <c r="H87" s="323"/>
      <c r="I87" s="323"/>
      <c r="J87" s="323"/>
      <c r="K87" s="323"/>
      <c r="L87" s="323"/>
      <c r="M87" s="323"/>
      <c r="N87" s="324"/>
      <c r="O87" s="101">
        <f>SUM(O73:O86)</f>
        <v>508956.2856</v>
      </c>
      <c r="P87" s="101"/>
      <c r="Q87" s="101"/>
      <c r="R87" s="213"/>
      <c r="S87" s="101">
        <f>SUM(S73:S86)</f>
        <v>324745</v>
      </c>
      <c r="T87" s="101">
        <f>SUM(T73:T86)</f>
        <v>0</v>
      </c>
      <c r="U87" s="237">
        <f t="shared" si="2"/>
        <v>324745</v>
      </c>
    </row>
    <row r="88" spans="1:21" s="16" customFormat="1" ht="15.75" customHeight="1">
      <c r="A88" s="443"/>
      <c r="B88" s="444"/>
      <c r="C88" s="466" t="s">
        <v>104</v>
      </c>
      <c r="D88" s="467"/>
      <c r="E88" s="467"/>
      <c r="F88" s="467"/>
      <c r="G88" s="467"/>
      <c r="H88" s="467"/>
      <c r="I88" s="467"/>
      <c r="J88" s="467"/>
      <c r="K88" s="467"/>
      <c r="L88" s="467"/>
      <c r="M88" s="467"/>
      <c r="N88" s="468"/>
      <c r="O88" s="98">
        <f>O87</f>
        <v>508956.2856</v>
      </c>
      <c r="P88" s="98"/>
      <c r="Q88" s="101"/>
      <c r="R88" s="213"/>
      <c r="S88" s="101">
        <f>S87</f>
        <v>324745</v>
      </c>
      <c r="T88" s="101">
        <f>T87</f>
        <v>0</v>
      </c>
      <c r="U88" s="237">
        <f t="shared" si="2"/>
        <v>324745</v>
      </c>
    </row>
    <row r="89" spans="1:21" s="16" customFormat="1" ht="15" customHeight="1">
      <c r="A89" s="443"/>
      <c r="B89" s="444"/>
      <c r="C89" s="64"/>
      <c r="D89" s="59"/>
      <c r="E89" s="59"/>
      <c r="F89" s="59"/>
      <c r="G89" s="65"/>
      <c r="H89" s="65"/>
      <c r="I89" s="65"/>
      <c r="J89" s="66"/>
      <c r="K89" s="346" t="s">
        <v>26</v>
      </c>
      <c r="L89" s="347"/>
      <c r="M89" s="347"/>
      <c r="N89" s="347"/>
      <c r="O89" s="99">
        <v>0</v>
      </c>
      <c r="P89" s="99"/>
      <c r="Q89" s="158"/>
      <c r="R89" s="219"/>
      <c r="S89" s="158">
        <v>0</v>
      </c>
      <c r="T89" s="158">
        <v>0</v>
      </c>
      <c r="U89" s="238">
        <f t="shared" si="2"/>
        <v>0</v>
      </c>
    </row>
    <row r="90" spans="1:21" s="16" customFormat="1" ht="15" customHeight="1">
      <c r="A90" s="445"/>
      <c r="B90" s="446"/>
      <c r="C90" s="69"/>
      <c r="D90" s="58"/>
      <c r="E90" s="58"/>
      <c r="F90" s="58"/>
      <c r="G90" s="70"/>
      <c r="H90" s="70"/>
      <c r="I90" s="70"/>
      <c r="J90" s="71"/>
      <c r="K90" s="432" t="s">
        <v>27</v>
      </c>
      <c r="L90" s="433"/>
      <c r="M90" s="433"/>
      <c r="N90" s="433"/>
      <c r="O90" s="99">
        <f>O88-O89</f>
        <v>508956.2856</v>
      </c>
      <c r="P90" s="99"/>
      <c r="Q90" s="158"/>
      <c r="R90" s="219"/>
      <c r="S90" s="158">
        <f>S88-S89</f>
        <v>324745</v>
      </c>
      <c r="T90" s="158">
        <f>T88-T89</f>
        <v>0</v>
      </c>
      <c r="U90" s="238">
        <f t="shared" si="2"/>
        <v>324745</v>
      </c>
    </row>
    <row r="91" spans="1:21" ht="11.25" customHeight="1">
      <c r="A91" s="472" t="s">
        <v>103</v>
      </c>
      <c r="B91" s="473"/>
      <c r="C91" s="69"/>
      <c r="D91" s="58"/>
      <c r="E91" s="58"/>
      <c r="F91" s="58"/>
      <c r="G91" s="70"/>
      <c r="H91" s="70"/>
      <c r="I91" s="70"/>
      <c r="J91" s="71"/>
      <c r="K91" s="72"/>
      <c r="L91" s="73"/>
      <c r="M91" s="73"/>
      <c r="N91" s="73"/>
      <c r="O91" s="73"/>
      <c r="P91" s="172"/>
      <c r="S91" s="229"/>
      <c r="T91" s="229"/>
      <c r="U91" s="235">
        <f t="shared" si="2"/>
        <v>0</v>
      </c>
    </row>
    <row r="92" spans="1:21" ht="18" customHeight="1">
      <c r="A92" s="354" t="s">
        <v>32</v>
      </c>
      <c r="B92" s="381"/>
      <c r="C92" s="457" t="s">
        <v>31</v>
      </c>
      <c r="D92" s="458"/>
      <c r="E92" s="458"/>
      <c r="F92" s="458"/>
      <c r="G92" s="454" t="s">
        <v>6</v>
      </c>
      <c r="H92" s="455"/>
      <c r="I92" s="455"/>
      <c r="J92" s="456"/>
      <c r="K92" s="309" t="s">
        <v>7</v>
      </c>
      <c r="L92" s="309" t="s">
        <v>8</v>
      </c>
      <c r="M92" s="310"/>
      <c r="N92" s="310"/>
      <c r="O92" s="310"/>
      <c r="P92" s="167"/>
      <c r="Q92" s="461"/>
      <c r="R92" s="462"/>
      <c r="S92" s="229"/>
      <c r="T92" s="229"/>
      <c r="U92" s="235">
        <f t="shared" si="2"/>
        <v>0</v>
      </c>
    </row>
    <row r="93" spans="1:21" ht="23.25" customHeight="1">
      <c r="A93" s="382"/>
      <c r="B93" s="383"/>
      <c r="C93" s="356"/>
      <c r="D93" s="357"/>
      <c r="E93" s="357"/>
      <c r="F93" s="357"/>
      <c r="G93" s="94" t="s">
        <v>9</v>
      </c>
      <c r="H93" s="94" t="s">
        <v>10</v>
      </c>
      <c r="I93" s="94" t="s">
        <v>11</v>
      </c>
      <c r="J93" s="94" t="s">
        <v>12</v>
      </c>
      <c r="K93" s="309"/>
      <c r="L93" s="94" t="s">
        <v>13</v>
      </c>
      <c r="M93" s="94" t="s">
        <v>14</v>
      </c>
      <c r="N93" s="94" t="s">
        <v>15</v>
      </c>
      <c r="O93" s="94" t="s">
        <v>61</v>
      </c>
      <c r="P93" s="94"/>
      <c r="Q93" s="94"/>
      <c r="R93" s="211"/>
      <c r="S93" s="229"/>
      <c r="T93" s="229"/>
      <c r="U93" s="235">
        <f t="shared" si="2"/>
        <v>0</v>
      </c>
    </row>
    <row r="94" spans="1:21" s="16" customFormat="1" ht="27" customHeight="1">
      <c r="A94" s="435" t="s">
        <v>77</v>
      </c>
      <c r="B94" s="436"/>
      <c r="C94" s="320" t="s">
        <v>78</v>
      </c>
      <c r="D94" s="321"/>
      <c r="E94" s="321"/>
      <c r="F94" s="321"/>
      <c r="G94" s="321"/>
      <c r="H94" s="321"/>
      <c r="I94" s="321"/>
      <c r="J94" s="321"/>
      <c r="K94" s="321"/>
      <c r="L94" s="321"/>
      <c r="M94" s="321"/>
      <c r="N94" s="321"/>
      <c r="O94" s="321"/>
      <c r="P94" s="173"/>
      <c r="S94" s="229"/>
      <c r="T94" s="229"/>
      <c r="U94" s="235">
        <f t="shared" si="2"/>
        <v>0</v>
      </c>
    </row>
    <row r="95" spans="1:21" s="16" customFormat="1" ht="33" customHeight="1">
      <c r="A95" s="434" t="s">
        <v>110</v>
      </c>
      <c r="B95" s="410"/>
      <c r="C95" s="257" t="s">
        <v>141</v>
      </c>
      <c r="D95" s="258"/>
      <c r="E95" s="258"/>
      <c r="F95" s="259"/>
      <c r="G95" s="60"/>
      <c r="H95" s="60"/>
      <c r="I95" s="60"/>
      <c r="J95" s="60"/>
      <c r="K95" s="116" t="s">
        <v>16</v>
      </c>
      <c r="L95" s="115" t="s">
        <v>54</v>
      </c>
      <c r="M95" s="116" t="s">
        <v>22</v>
      </c>
      <c r="N95" s="48">
        <v>74200</v>
      </c>
      <c r="O95" s="21">
        <v>2000</v>
      </c>
      <c r="P95" s="119"/>
      <c r="Q95" s="156"/>
      <c r="R95" s="212"/>
      <c r="S95" s="229"/>
      <c r="T95" s="229"/>
      <c r="U95" s="235">
        <f t="shared" si="2"/>
        <v>0</v>
      </c>
    </row>
    <row r="96" spans="1:24" s="16" customFormat="1" ht="16.5" customHeight="1">
      <c r="A96" s="434"/>
      <c r="B96" s="410"/>
      <c r="C96" s="260"/>
      <c r="D96" s="261"/>
      <c r="E96" s="261"/>
      <c r="F96" s="262"/>
      <c r="G96" s="120"/>
      <c r="H96" s="120"/>
      <c r="I96" s="120"/>
      <c r="J96" s="120"/>
      <c r="K96" s="202" t="s">
        <v>16</v>
      </c>
      <c r="L96" s="201" t="s">
        <v>54</v>
      </c>
      <c r="M96" s="202" t="s">
        <v>22</v>
      </c>
      <c r="N96" s="48">
        <v>74200</v>
      </c>
      <c r="O96" s="21">
        <v>10581.15</v>
      </c>
      <c r="P96" s="119"/>
      <c r="Q96" s="156"/>
      <c r="R96" s="212"/>
      <c r="S96" s="229"/>
      <c r="T96" s="229"/>
      <c r="U96" s="235">
        <f t="shared" si="2"/>
        <v>0</v>
      </c>
      <c r="X96" s="149"/>
    </row>
    <row r="97" spans="1:21" s="16" customFormat="1" ht="15.75" customHeight="1">
      <c r="A97" s="434"/>
      <c r="B97" s="410"/>
      <c r="C97" s="257" t="s">
        <v>142</v>
      </c>
      <c r="D97" s="258"/>
      <c r="E97" s="258"/>
      <c r="F97" s="259"/>
      <c r="G97" s="120"/>
      <c r="H97" s="120"/>
      <c r="I97" s="120"/>
      <c r="J97" s="120"/>
      <c r="K97" s="116" t="s">
        <v>16</v>
      </c>
      <c r="L97" s="115" t="s">
        <v>54</v>
      </c>
      <c r="M97" s="116" t="s">
        <v>22</v>
      </c>
      <c r="N97" s="128">
        <v>71300</v>
      </c>
      <c r="O97" s="21">
        <v>12012.02</v>
      </c>
      <c r="P97" s="119"/>
      <c r="Q97" s="156"/>
      <c r="R97" s="212"/>
      <c r="S97" s="229"/>
      <c r="T97" s="229"/>
      <c r="U97" s="235">
        <f t="shared" si="2"/>
        <v>0</v>
      </c>
    </row>
    <row r="98" spans="1:24" s="16" customFormat="1" ht="23.25" customHeight="1">
      <c r="A98" s="434"/>
      <c r="B98" s="410"/>
      <c r="C98" s="260"/>
      <c r="D98" s="261"/>
      <c r="E98" s="261"/>
      <c r="F98" s="262"/>
      <c r="G98" s="120"/>
      <c r="H98" s="120"/>
      <c r="I98" s="120"/>
      <c r="J98" s="120"/>
      <c r="K98" s="116" t="s">
        <v>16</v>
      </c>
      <c r="L98" s="115" t="s">
        <v>54</v>
      </c>
      <c r="M98" s="116" t="s">
        <v>22</v>
      </c>
      <c r="N98" s="51" t="s">
        <v>41</v>
      </c>
      <c r="O98" s="21">
        <v>3000</v>
      </c>
      <c r="P98" s="119"/>
      <c r="Q98" s="156"/>
      <c r="R98" s="212"/>
      <c r="S98" s="229"/>
      <c r="T98" s="229"/>
      <c r="U98" s="235">
        <f t="shared" si="2"/>
        <v>0</v>
      </c>
      <c r="X98" s="149"/>
    </row>
    <row r="99" spans="1:21" s="16" customFormat="1" ht="51.75" customHeight="1">
      <c r="A99" s="443" t="s">
        <v>99</v>
      </c>
      <c r="B99" s="444"/>
      <c r="C99" s="325" t="s">
        <v>109</v>
      </c>
      <c r="D99" s="326"/>
      <c r="E99" s="326"/>
      <c r="F99" s="327"/>
      <c r="G99" s="60"/>
      <c r="H99" s="60"/>
      <c r="I99" s="60"/>
      <c r="J99" s="60"/>
      <c r="K99" s="116" t="s">
        <v>16</v>
      </c>
      <c r="L99" s="115" t="s">
        <v>54</v>
      </c>
      <c r="M99" s="116" t="s">
        <v>22</v>
      </c>
      <c r="N99" s="22" t="s">
        <v>41</v>
      </c>
      <c r="O99" s="194">
        <v>0</v>
      </c>
      <c r="P99" s="119"/>
      <c r="Q99" s="156"/>
      <c r="R99" s="212"/>
      <c r="S99" s="229"/>
      <c r="T99" s="230">
        <f>500*12+0.6*2000*2</f>
        <v>8400</v>
      </c>
      <c r="U99" s="235">
        <f t="shared" si="2"/>
        <v>8400</v>
      </c>
    </row>
    <row r="100" spans="1:21" s="16" customFormat="1" ht="24" customHeight="1">
      <c r="A100" s="443"/>
      <c r="B100" s="444"/>
      <c r="C100" s="281" t="s">
        <v>153</v>
      </c>
      <c r="D100" s="282"/>
      <c r="E100" s="282"/>
      <c r="F100" s="283"/>
      <c r="G100" s="120"/>
      <c r="H100" s="120"/>
      <c r="I100" s="120"/>
      <c r="J100" s="120"/>
      <c r="K100" s="116" t="s">
        <v>16</v>
      </c>
      <c r="L100" s="115" t="s">
        <v>54</v>
      </c>
      <c r="M100" s="116" t="s">
        <v>22</v>
      </c>
      <c r="N100" s="118" t="s">
        <v>24</v>
      </c>
      <c r="O100" s="21">
        <v>2000</v>
      </c>
      <c r="P100" s="119"/>
      <c r="Q100" s="156"/>
      <c r="R100" s="212"/>
      <c r="S100" s="229"/>
      <c r="T100" s="229"/>
      <c r="U100" s="235">
        <f t="shared" si="2"/>
        <v>0</v>
      </c>
    </row>
    <row r="101" spans="1:24" s="16" customFormat="1" ht="21.75" customHeight="1">
      <c r="A101" s="443"/>
      <c r="B101" s="444"/>
      <c r="C101" s="284"/>
      <c r="D101" s="285"/>
      <c r="E101" s="285"/>
      <c r="F101" s="286"/>
      <c r="G101" s="120"/>
      <c r="H101" s="120"/>
      <c r="I101" s="120"/>
      <c r="J101" s="120"/>
      <c r="K101" s="116" t="s">
        <v>16</v>
      </c>
      <c r="L101" s="115" t="s">
        <v>54</v>
      </c>
      <c r="M101" s="116" t="s">
        <v>22</v>
      </c>
      <c r="N101" s="48">
        <v>75700</v>
      </c>
      <c r="O101" s="21">
        <v>7000</v>
      </c>
      <c r="P101" s="119"/>
      <c r="Q101" s="156"/>
      <c r="R101" s="212"/>
      <c r="S101" s="229"/>
      <c r="T101" s="230">
        <v>11250</v>
      </c>
      <c r="U101" s="235">
        <f t="shared" si="2"/>
        <v>11250</v>
      </c>
      <c r="X101" s="149"/>
    </row>
    <row r="102" spans="1:24" s="16" customFormat="1" ht="18" customHeight="1">
      <c r="A102" s="443"/>
      <c r="B102" s="444"/>
      <c r="C102" s="269" t="s">
        <v>149</v>
      </c>
      <c r="D102" s="270"/>
      <c r="E102" s="270"/>
      <c r="F102" s="271"/>
      <c r="G102" s="120"/>
      <c r="H102" s="120"/>
      <c r="I102" s="120"/>
      <c r="J102" s="120"/>
      <c r="K102" s="116" t="s">
        <v>16</v>
      </c>
      <c r="L102" s="115" t="s">
        <v>54</v>
      </c>
      <c r="M102" s="116" t="s">
        <v>22</v>
      </c>
      <c r="N102" s="48">
        <v>71600</v>
      </c>
      <c r="O102" s="21">
        <v>5000</v>
      </c>
      <c r="P102" s="119"/>
      <c r="Q102" s="156"/>
      <c r="R102" s="212"/>
      <c r="S102" s="229"/>
      <c r="T102" s="229"/>
      <c r="U102" s="235">
        <f t="shared" si="2"/>
        <v>0</v>
      </c>
      <c r="X102" s="149"/>
    </row>
    <row r="103" spans="1:24" s="16" customFormat="1" ht="18" customHeight="1">
      <c r="A103" s="443"/>
      <c r="B103" s="444"/>
      <c r="C103" s="295"/>
      <c r="D103" s="296"/>
      <c r="E103" s="296"/>
      <c r="F103" s="297"/>
      <c r="G103" s="120"/>
      <c r="H103" s="120"/>
      <c r="I103" s="120"/>
      <c r="J103" s="120"/>
      <c r="K103" s="202" t="s">
        <v>16</v>
      </c>
      <c r="L103" s="201" t="s">
        <v>54</v>
      </c>
      <c r="M103" s="202" t="s">
        <v>22</v>
      </c>
      <c r="N103" s="74" t="s">
        <v>64</v>
      </c>
      <c r="O103" s="21">
        <f>12*3*150*0.901</f>
        <v>4865.400000000001</v>
      </c>
      <c r="P103" s="119"/>
      <c r="Q103" s="156"/>
      <c r="R103" s="212"/>
      <c r="S103" s="229"/>
      <c r="T103" s="229"/>
      <c r="U103" s="235">
        <f t="shared" si="2"/>
        <v>0</v>
      </c>
      <c r="X103" s="149"/>
    </row>
    <row r="104" spans="1:24" s="16" customFormat="1" ht="24" customHeight="1">
      <c r="A104" s="443"/>
      <c r="B104" s="444"/>
      <c r="C104" s="272"/>
      <c r="D104" s="273"/>
      <c r="E104" s="273"/>
      <c r="F104" s="274"/>
      <c r="G104" s="60"/>
      <c r="H104" s="60"/>
      <c r="I104" s="60"/>
      <c r="J104" s="60"/>
      <c r="K104" s="116" t="s">
        <v>16</v>
      </c>
      <c r="L104" s="115" t="s">
        <v>54</v>
      </c>
      <c r="M104" s="116" t="s">
        <v>22</v>
      </c>
      <c r="N104" s="22" t="s">
        <v>64</v>
      </c>
      <c r="O104" s="21">
        <f>12*3*260*0.901</f>
        <v>8433.36</v>
      </c>
      <c r="P104" s="119"/>
      <c r="Q104" s="156"/>
      <c r="R104" s="212"/>
      <c r="S104" s="229"/>
      <c r="T104" s="230">
        <f>240*10+240*15</f>
        <v>6000</v>
      </c>
      <c r="U104" s="235">
        <f t="shared" si="2"/>
        <v>6000</v>
      </c>
      <c r="W104" s="245"/>
      <c r="X104" s="246"/>
    </row>
    <row r="105" spans="1:21" s="16" customFormat="1" ht="24" customHeight="1">
      <c r="A105" s="443"/>
      <c r="B105" s="444"/>
      <c r="C105" s="254" t="s">
        <v>140</v>
      </c>
      <c r="D105" s="255"/>
      <c r="E105" s="255"/>
      <c r="F105" s="256"/>
      <c r="G105" s="200"/>
      <c r="H105" s="200"/>
      <c r="I105" s="200"/>
      <c r="J105" s="200"/>
      <c r="K105" s="6" t="s">
        <v>16</v>
      </c>
      <c r="L105" s="7" t="s">
        <v>54</v>
      </c>
      <c r="M105" s="7" t="s">
        <v>22</v>
      </c>
      <c r="N105" s="6">
        <v>71600</v>
      </c>
      <c r="O105" s="191">
        <v>7000</v>
      </c>
      <c r="P105" s="119"/>
      <c r="Q105" s="156"/>
      <c r="R105" s="212"/>
      <c r="S105" s="229"/>
      <c r="T105" s="229"/>
      <c r="U105" s="235">
        <f t="shared" si="2"/>
        <v>0</v>
      </c>
    </row>
    <row r="106" spans="1:21" s="16" customFormat="1" ht="21" customHeight="1">
      <c r="A106" s="443"/>
      <c r="B106" s="444"/>
      <c r="C106" s="328" t="s">
        <v>40</v>
      </c>
      <c r="D106" s="329"/>
      <c r="E106" s="329"/>
      <c r="F106" s="330"/>
      <c r="G106" s="317"/>
      <c r="H106" s="318"/>
      <c r="I106" s="318"/>
      <c r="J106" s="319"/>
      <c r="K106" s="22" t="s">
        <v>16</v>
      </c>
      <c r="L106" s="51" t="s">
        <v>54</v>
      </c>
      <c r="M106" s="50" t="s">
        <v>22</v>
      </c>
      <c r="N106" s="23">
        <v>75100</v>
      </c>
      <c r="O106" s="194">
        <f>SUM(O95:O105)*0.07</f>
        <v>4332.435100000001</v>
      </c>
      <c r="P106" s="119"/>
      <c r="Q106" s="119"/>
      <c r="R106" s="214"/>
      <c r="S106" s="194">
        <f>SUM(S95:S105)*0.07</f>
        <v>0</v>
      </c>
      <c r="T106" s="229">
        <f>SUM(T95:T105)*7/100</f>
        <v>1795.5</v>
      </c>
      <c r="U106" s="235">
        <f t="shared" si="2"/>
        <v>1795.5</v>
      </c>
    </row>
    <row r="107" spans="1:21" s="16" customFormat="1" ht="18" customHeight="1">
      <c r="A107" s="443"/>
      <c r="B107" s="444"/>
      <c r="C107" s="322" t="s">
        <v>38</v>
      </c>
      <c r="D107" s="323"/>
      <c r="E107" s="323"/>
      <c r="F107" s="323"/>
      <c r="G107" s="323"/>
      <c r="H107" s="323"/>
      <c r="I107" s="323"/>
      <c r="J107" s="323"/>
      <c r="K107" s="323"/>
      <c r="L107" s="323"/>
      <c r="M107" s="323"/>
      <c r="N107" s="324"/>
      <c r="O107" s="101">
        <f>SUM(O92:O106)</f>
        <v>66224.3651</v>
      </c>
      <c r="P107" s="101"/>
      <c r="Q107" s="101"/>
      <c r="R107" s="213"/>
      <c r="S107" s="101">
        <f>SUM(S92:S106)</f>
        <v>0</v>
      </c>
      <c r="T107" s="229">
        <f>SUM(T95:T106)</f>
        <v>27445.5</v>
      </c>
      <c r="U107" s="235">
        <f t="shared" si="2"/>
        <v>27445.5</v>
      </c>
    </row>
    <row r="108" spans="1:21" s="16" customFormat="1" ht="18" customHeight="1">
      <c r="A108" s="443"/>
      <c r="B108" s="444"/>
      <c r="C108" s="287" t="s">
        <v>79</v>
      </c>
      <c r="D108" s="288"/>
      <c r="E108" s="288"/>
      <c r="F108" s="288"/>
      <c r="G108" s="288"/>
      <c r="H108" s="288"/>
      <c r="I108" s="288"/>
      <c r="J108" s="288"/>
      <c r="K108" s="288"/>
      <c r="L108" s="288"/>
      <c r="M108" s="288"/>
      <c r="N108" s="288"/>
      <c r="O108" s="288"/>
      <c r="P108" s="57"/>
      <c r="R108" s="149"/>
      <c r="S108" s="229"/>
      <c r="T108" s="229"/>
      <c r="U108" s="235">
        <f t="shared" si="2"/>
        <v>0</v>
      </c>
    </row>
    <row r="109" spans="1:21" s="16" customFormat="1" ht="18" customHeight="1">
      <c r="A109" s="443"/>
      <c r="B109" s="444"/>
      <c r="C109" s="334" t="s">
        <v>80</v>
      </c>
      <c r="D109" s="335"/>
      <c r="E109" s="335"/>
      <c r="F109" s="335"/>
      <c r="G109" s="314"/>
      <c r="H109" s="314"/>
      <c r="I109" s="314"/>
      <c r="J109" s="314"/>
      <c r="K109" s="313" t="s">
        <v>16</v>
      </c>
      <c r="L109" s="74" t="s">
        <v>54</v>
      </c>
      <c r="M109" s="103" t="s">
        <v>22</v>
      </c>
      <c r="N109" s="103" t="s">
        <v>24</v>
      </c>
      <c r="O109" s="21">
        <v>5000</v>
      </c>
      <c r="P109" s="119"/>
      <c r="Q109" s="157"/>
      <c r="R109" s="212"/>
      <c r="S109" s="229"/>
      <c r="T109" s="229"/>
      <c r="U109" s="235">
        <f t="shared" si="2"/>
        <v>0</v>
      </c>
    </row>
    <row r="110" spans="1:24" s="16" customFormat="1" ht="18" customHeight="1">
      <c r="A110" s="443"/>
      <c r="B110" s="444"/>
      <c r="C110" s="334"/>
      <c r="D110" s="335"/>
      <c r="E110" s="335"/>
      <c r="F110" s="335"/>
      <c r="G110" s="314"/>
      <c r="H110" s="314"/>
      <c r="I110" s="314"/>
      <c r="J110" s="314"/>
      <c r="K110" s="313"/>
      <c r="L110" s="190" t="s">
        <v>139</v>
      </c>
      <c r="M110" s="190" t="s">
        <v>22</v>
      </c>
      <c r="N110" s="190" t="s">
        <v>93</v>
      </c>
      <c r="O110" s="21">
        <v>22086.57</v>
      </c>
      <c r="P110" s="119"/>
      <c r="Q110" s="157"/>
      <c r="R110" s="212"/>
      <c r="S110" s="229"/>
      <c r="T110" s="230">
        <f>3*10000</f>
        <v>30000</v>
      </c>
      <c r="U110" s="235">
        <f t="shared" si="2"/>
        <v>30000</v>
      </c>
      <c r="X110" s="149"/>
    </row>
    <row r="111" spans="1:21" s="16" customFormat="1" ht="23.25" customHeight="1">
      <c r="A111" s="443"/>
      <c r="B111" s="444"/>
      <c r="C111" s="334"/>
      <c r="D111" s="335"/>
      <c r="E111" s="335"/>
      <c r="F111" s="335"/>
      <c r="G111" s="314"/>
      <c r="H111" s="314"/>
      <c r="I111" s="314"/>
      <c r="J111" s="314"/>
      <c r="K111" s="313"/>
      <c r="L111" s="102" t="s">
        <v>54</v>
      </c>
      <c r="M111" s="102" t="s">
        <v>22</v>
      </c>
      <c r="N111" s="102" t="s">
        <v>64</v>
      </c>
      <c r="O111" s="21">
        <v>5000</v>
      </c>
      <c r="P111" s="119"/>
      <c r="Q111" s="157"/>
      <c r="R111" s="212"/>
      <c r="S111" s="229"/>
      <c r="T111" s="230">
        <f>200*12+13*200</f>
        <v>5000</v>
      </c>
      <c r="U111" s="235">
        <f t="shared" si="2"/>
        <v>5000</v>
      </c>
    </row>
    <row r="112" spans="1:24" s="16" customFormat="1" ht="18" customHeight="1">
      <c r="A112" s="443"/>
      <c r="B112" s="444"/>
      <c r="C112" s="269" t="s">
        <v>160</v>
      </c>
      <c r="D112" s="270"/>
      <c r="E112" s="270"/>
      <c r="F112" s="271"/>
      <c r="G112" s="129"/>
      <c r="H112" s="129"/>
      <c r="I112" s="129"/>
      <c r="J112" s="129"/>
      <c r="K112" s="315" t="s">
        <v>16</v>
      </c>
      <c r="L112" s="315" t="s">
        <v>54</v>
      </c>
      <c r="M112" s="315" t="s">
        <v>22</v>
      </c>
      <c r="N112" s="315" t="s">
        <v>64</v>
      </c>
      <c r="O112" s="469">
        <v>0</v>
      </c>
      <c r="P112" s="119"/>
      <c r="Q112" s="157"/>
      <c r="R112" s="212"/>
      <c r="S112" s="229"/>
      <c r="T112" s="229"/>
      <c r="U112" s="235">
        <f t="shared" si="2"/>
        <v>0</v>
      </c>
      <c r="X112" s="149"/>
    </row>
    <row r="113" spans="1:24" s="16" customFormat="1" ht="14.25" customHeight="1">
      <c r="A113" s="443"/>
      <c r="B113" s="444"/>
      <c r="C113" s="272"/>
      <c r="D113" s="273"/>
      <c r="E113" s="273"/>
      <c r="F113" s="274"/>
      <c r="G113" s="184"/>
      <c r="H113" s="184"/>
      <c r="I113" s="184"/>
      <c r="J113" s="184"/>
      <c r="K113" s="316"/>
      <c r="L113" s="316"/>
      <c r="M113" s="316"/>
      <c r="N113" s="316"/>
      <c r="O113" s="470"/>
      <c r="P113" s="119"/>
      <c r="Q113" s="157"/>
      <c r="R113" s="212"/>
      <c r="S113" s="229"/>
      <c r="T113" s="229"/>
      <c r="U113" s="235">
        <f t="shared" si="2"/>
        <v>0</v>
      </c>
      <c r="X113" s="149"/>
    </row>
    <row r="114" spans="1:21" s="16" customFormat="1" ht="27.75" customHeight="1">
      <c r="A114" s="443"/>
      <c r="B114" s="444"/>
      <c r="C114" s="331" t="s">
        <v>161</v>
      </c>
      <c r="D114" s="332"/>
      <c r="E114" s="332"/>
      <c r="F114" s="333"/>
      <c r="G114" s="113"/>
      <c r="H114" s="113"/>
      <c r="I114" s="113"/>
      <c r="J114" s="113"/>
      <c r="K114" s="115" t="s">
        <v>16</v>
      </c>
      <c r="L114" s="74" t="s">
        <v>54</v>
      </c>
      <c r="M114" s="103" t="s">
        <v>22</v>
      </c>
      <c r="N114" s="103" t="s">
        <v>94</v>
      </c>
      <c r="O114" s="21">
        <v>500000</v>
      </c>
      <c r="P114" s="119"/>
      <c r="Q114" s="157"/>
      <c r="R114" s="212"/>
      <c r="S114" s="229"/>
      <c r="T114" s="229">
        <f>20*8000+256604</f>
        <v>416604</v>
      </c>
      <c r="U114" s="235">
        <f t="shared" si="2"/>
        <v>416604</v>
      </c>
    </row>
    <row r="115" spans="1:24" s="16" customFormat="1" ht="27.75" customHeight="1">
      <c r="A115" s="443"/>
      <c r="B115" s="444"/>
      <c r="C115" s="336" t="s">
        <v>162</v>
      </c>
      <c r="D115" s="337"/>
      <c r="E115" s="337"/>
      <c r="F115" s="338"/>
      <c r="G115" s="188"/>
      <c r="H115" s="188"/>
      <c r="I115" s="188"/>
      <c r="J115" s="188"/>
      <c r="K115" s="8" t="s">
        <v>16</v>
      </c>
      <c r="L115" s="7" t="s">
        <v>54</v>
      </c>
      <c r="M115" s="24" t="s">
        <v>22</v>
      </c>
      <c r="N115" s="24" t="s">
        <v>94</v>
      </c>
      <c r="O115" s="21">
        <f>1500000/0.915</f>
        <v>1639344.262295082</v>
      </c>
      <c r="P115" s="119"/>
      <c r="Q115" s="157"/>
      <c r="R115" s="212"/>
      <c r="S115" s="229"/>
      <c r="T115" s="229">
        <v>1664817</v>
      </c>
      <c r="U115" s="235">
        <f t="shared" si="2"/>
        <v>1664817</v>
      </c>
      <c r="X115" s="149"/>
    </row>
    <row r="116" spans="1:24" s="16" customFormat="1" ht="18" customHeight="1">
      <c r="A116" s="443"/>
      <c r="B116" s="444"/>
      <c r="C116" s="281" t="s">
        <v>81</v>
      </c>
      <c r="D116" s="282"/>
      <c r="E116" s="282"/>
      <c r="F116" s="283"/>
      <c r="G116" s="129"/>
      <c r="H116" s="129"/>
      <c r="I116" s="129"/>
      <c r="J116" s="129"/>
      <c r="K116" s="315" t="s">
        <v>16</v>
      </c>
      <c r="L116" s="115" t="s">
        <v>54</v>
      </c>
      <c r="M116" s="74" t="s">
        <v>22</v>
      </c>
      <c r="N116" s="74">
        <v>71600</v>
      </c>
      <c r="O116" s="21">
        <v>15262.3</v>
      </c>
      <c r="P116" s="119"/>
      <c r="Q116" s="157"/>
      <c r="R116" s="212"/>
      <c r="S116" s="229"/>
      <c r="T116" s="229">
        <v>12000</v>
      </c>
      <c r="U116" s="235">
        <f t="shared" si="2"/>
        <v>12000</v>
      </c>
      <c r="X116" s="149"/>
    </row>
    <row r="117" spans="1:24" s="16" customFormat="1" ht="18" customHeight="1">
      <c r="A117" s="443"/>
      <c r="B117" s="444"/>
      <c r="C117" s="284"/>
      <c r="D117" s="285"/>
      <c r="E117" s="285"/>
      <c r="F117" s="286"/>
      <c r="G117" s="120"/>
      <c r="H117" s="120"/>
      <c r="I117" s="120"/>
      <c r="J117" s="120"/>
      <c r="K117" s="316"/>
      <c r="L117" s="93" t="s">
        <v>54</v>
      </c>
      <c r="M117" s="93" t="s">
        <v>22</v>
      </c>
      <c r="N117" s="74" t="s">
        <v>64</v>
      </c>
      <c r="O117" s="21">
        <v>5000</v>
      </c>
      <c r="P117" s="119"/>
      <c r="Q117" s="157"/>
      <c r="R117" s="212"/>
      <c r="S117" s="229"/>
      <c r="T117" s="229">
        <v>20000</v>
      </c>
      <c r="U117" s="235">
        <f t="shared" si="2"/>
        <v>20000</v>
      </c>
      <c r="X117" s="149"/>
    </row>
    <row r="118" spans="1:24" s="16" customFormat="1" ht="18" customHeight="1">
      <c r="A118" s="443"/>
      <c r="B118" s="444"/>
      <c r="C118" s="281" t="s">
        <v>82</v>
      </c>
      <c r="D118" s="282"/>
      <c r="E118" s="282"/>
      <c r="F118" s="283"/>
      <c r="G118" s="311"/>
      <c r="H118" s="311"/>
      <c r="I118" s="311"/>
      <c r="J118" s="311"/>
      <c r="K118" s="315" t="s">
        <v>16</v>
      </c>
      <c r="L118" s="74" t="s">
        <v>54</v>
      </c>
      <c r="M118" s="74" t="s">
        <v>22</v>
      </c>
      <c r="N118" s="74" t="s">
        <v>24</v>
      </c>
      <c r="O118" s="21">
        <v>2000</v>
      </c>
      <c r="P118" s="119"/>
      <c r="Q118" s="157"/>
      <c r="R118" s="212"/>
      <c r="S118" s="229"/>
      <c r="T118" s="229">
        <v>0</v>
      </c>
      <c r="U118" s="235">
        <f t="shared" si="2"/>
        <v>0</v>
      </c>
      <c r="W118" s="245"/>
      <c r="X118" s="246"/>
    </row>
    <row r="119" spans="1:21" s="16" customFormat="1" ht="18" customHeight="1">
      <c r="A119" s="443"/>
      <c r="B119" s="444"/>
      <c r="C119" s="284"/>
      <c r="D119" s="285"/>
      <c r="E119" s="285"/>
      <c r="F119" s="286"/>
      <c r="G119" s="312"/>
      <c r="H119" s="312"/>
      <c r="I119" s="312"/>
      <c r="J119" s="312"/>
      <c r="K119" s="316"/>
      <c r="L119" s="74" t="s">
        <v>54</v>
      </c>
      <c r="M119" s="74" t="s">
        <v>22</v>
      </c>
      <c r="N119" s="74" t="s">
        <v>64</v>
      </c>
      <c r="O119" s="21">
        <v>2500</v>
      </c>
      <c r="P119" s="119"/>
      <c r="Q119" s="157"/>
      <c r="R119" s="212"/>
      <c r="S119" s="229"/>
      <c r="T119" s="233">
        <f>120*20+120*30+120*32+300*12+300*13</f>
        <v>17340</v>
      </c>
      <c r="U119" s="235">
        <f t="shared" si="2"/>
        <v>17340</v>
      </c>
    </row>
    <row r="120" spans="1:21" s="16" customFormat="1" ht="25.5" customHeight="1">
      <c r="A120" s="443"/>
      <c r="B120" s="444"/>
      <c r="C120" s="281" t="s">
        <v>143</v>
      </c>
      <c r="D120" s="282"/>
      <c r="E120" s="282"/>
      <c r="F120" s="283"/>
      <c r="G120" s="112"/>
      <c r="H120" s="112"/>
      <c r="I120" s="112"/>
      <c r="J120" s="112"/>
      <c r="K120" s="74" t="s">
        <v>16</v>
      </c>
      <c r="L120" s="182" t="s">
        <v>54</v>
      </c>
      <c r="M120" s="183" t="s">
        <v>22</v>
      </c>
      <c r="N120" s="74" t="s">
        <v>41</v>
      </c>
      <c r="O120" s="21">
        <v>4000</v>
      </c>
      <c r="P120" s="119"/>
      <c r="Q120" s="157"/>
      <c r="R120" s="212"/>
      <c r="S120" s="229"/>
      <c r="T120" s="229">
        <v>2000</v>
      </c>
      <c r="U120" s="235">
        <f t="shared" si="2"/>
        <v>2000</v>
      </c>
    </row>
    <row r="121" spans="1:21" s="16" customFormat="1" ht="27.75" customHeight="1">
      <c r="A121" s="443"/>
      <c r="B121" s="444"/>
      <c r="C121" s="269" t="s">
        <v>132</v>
      </c>
      <c r="D121" s="270"/>
      <c r="E121" s="270"/>
      <c r="F121" s="271"/>
      <c r="G121" s="60"/>
      <c r="H121" s="60"/>
      <c r="I121" s="60"/>
      <c r="J121" s="60"/>
      <c r="K121" s="315" t="s">
        <v>16</v>
      </c>
      <c r="L121" s="315" t="s">
        <v>54</v>
      </c>
      <c r="M121" s="315" t="s">
        <v>22</v>
      </c>
      <c r="N121" s="315" t="s">
        <v>24</v>
      </c>
      <c r="O121" s="484">
        <v>2000</v>
      </c>
      <c r="P121" s="119"/>
      <c r="Q121" s="157"/>
      <c r="R121" s="212"/>
      <c r="S121" s="229"/>
      <c r="T121" s="229"/>
      <c r="U121" s="235">
        <f t="shared" si="2"/>
        <v>0</v>
      </c>
    </row>
    <row r="122" spans="1:21" s="16" customFormat="1" ht="15.75" customHeight="1">
      <c r="A122" s="443"/>
      <c r="B122" s="444"/>
      <c r="C122" s="295"/>
      <c r="D122" s="296"/>
      <c r="E122" s="296"/>
      <c r="F122" s="297"/>
      <c r="G122" s="311"/>
      <c r="H122" s="311"/>
      <c r="I122" s="311"/>
      <c r="J122" s="311"/>
      <c r="K122" s="316"/>
      <c r="L122" s="316"/>
      <c r="M122" s="316"/>
      <c r="N122" s="316"/>
      <c r="O122" s="485"/>
      <c r="P122" s="119"/>
      <c r="Q122" s="156"/>
      <c r="R122" s="212"/>
      <c r="S122" s="229"/>
      <c r="T122" s="229"/>
      <c r="U122" s="235">
        <f t="shared" si="2"/>
        <v>0</v>
      </c>
    </row>
    <row r="123" spans="1:21" s="16" customFormat="1" ht="28.5" customHeight="1">
      <c r="A123" s="443"/>
      <c r="B123" s="444"/>
      <c r="C123" s="272"/>
      <c r="D123" s="273"/>
      <c r="E123" s="273"/>
      <c r="F123" s="274"/>
      <c r="G123" s="312"/>
      <c r="H123" s="312"/>
      <c r="I123" s="312"/>
      <c r="J123" s="312"/>
      <c r="K123" s="121" t="s">
        <v>16</v>
      </c>
      <c r="L123" s="115" t="s">
        <v>54</v>
      </c>
      <c r="M123" s="116" t="s">
        <v>22</v>
      </c>
      <c r="N123" s="74" t="s">
        <v>64</v>
      </c>
      <c r="O123" s="21">
        <v>2500</v>
      </c>
      <c r="P123" s="119"/>
      <c r="Q123" s="156"/>
      <c r="R123" s="212"/>
      <c r="S123" s="229"/>
      <c r="T123" s="229">
        <f>17500+6000</f>
        <v>23500</v>
      </c>
      <c r="U123" s="235">
        <f t="shared" si="2"/>
        <v>23500</v>
      </c>
    </row>
    <row r="124" spans="1:21" s="16" customFormat="1" ht="23.25" customHeight="1">
      <c r="A124" s="443"/>
      <c r="B124" s="444"/>
      <c r="C124" s="269" t="s">
        <v>154</v>
      </c>
      <c r="D124" s="270"/>
      <c r="E124" s="270"/>
      <c r="F124" s="271"/>
      <c r="G124" s="60"/>
      <c r="H124" s="60"/>
      <c r="I124" s="60"/>
      <c r="J124" s="60"/>
      <c r="K124" s="74" t="s">
        <v>16</v>
      </c>
      <c r="L124" s="115" t="s">
        <v>54</v>
      </c>
      <c r="M124" s="116" t="s">
        <v>22</v>
      </c>
      <c r="N124" s="74" t="s">
        <v>64</v>
      </c>
      <c r="O124" s="21">
        <f>12*3*260*0.901</f>
        <v>8433.36</v>
      </c>
      <c r="P124" s="119"/>
      <c r="Q124" s="156"/>
      <c r="R124" s="212"/>
      <c r="S124" s="229"/>
      <c r="T124" s="229"/>
      <c r="U124" s="235">
        <f t="shared" si="2"/>
        <v>0</v>
      </c>
    </row>
    <row r="125" spans="1:21" s="16" customFormat="1" ht="17.25" customHeight="1">
      <c r="A125" s="443"/>
      <c r="B125" s="444"/>
      <c r="C125" s="272"/>
      <c r="D125" s="273"/>
      <c r="E125" s="273"/>
      <c r="F125" s="274"/>
      <c r="G125" s="60"/>
      <c r="H125" s="60"/>
      <c r="I125" s="60"/>
      <c r="J125" s="60"/>
      <c r="K125" s="74" t="s">
        <v>16</v>
      </c>
      <c r="L125" s="201" t="s">
        <v>54</v>
      </c>
      <c r="M125" s="202" t="s">
        <v>22</v>
      </c>
      <c r="N125" s="74" t="s">
        <v>64</v>
      </c>
      <c r="O125" s="198">
        <v>20000</v>
      </c>
      <c r="P125" s="119"/>
      <c r="Q125" s="156"/>
      <c r="R125" s="212"/>
      <c r="S125" s="229"/>
      <c r="T125" s="229"/>
      <c r="U125" s="235">
        <f t="shared" si="2"/>
        <v>0</v>
      </c>
    </row>
    <row r="126" spans="1:21" s="16" customFormat="1" ht="29.25" customHeight="1">
      <c r="A126" s="443"/>
      <c r="B126" s="444"/>
      <c r="C126" s="254" t="s">
        <v>140</v>
      </c>
      <c r="D126" s="255"/>
      <c r="E126" s="255"/>
      <c r="F126" s="256"/>
      <c r="G126" s="200"/>
      <c r="H126" s="200"/>
      <c r="I126" s="200"/>
      <c r="J126" s="200"/>
      <c r="K126" s="6" t="s">
        <v>16</v>
      </c>
      <c r="L126" s="7" t="s">
        <v>54</v>
      </c>
      <c r="M126" s="7" t="s">
        <v>22</v>
      </c>
      <c r="N126" s="6">
        <v>71600</v>
      </c>
      <c r="O126" s="191">
        <v>24262</v>
      </c>
      <c r="P126" s="119"/>
      <c r="Q126" s="156"/>
      <c r="R126" s="212"/>
      <c r="S126" s="229"/>
      <c r="T126" s="229"/>
      <c r="U126" s="235">
        <f t="shared" si="2"/>
        <v>0</v>
      </c>
    </row>
    <row r="127" spans="1:21" s="16" customFormat="1" ht="18" customHeight="1">
      <c r="A127" s="443"/>
      <c r="B127" s="444"/>
      <c r="C127" s="393" t="s">
        <v>40</v>
      </c>
      <c r="D127" s="393"/>
      <c r="E127" s="393"/>
      <c r="F127" s="393"/>
      <c r="G127" s="317"/>
      <c r="H127" s="318"/>
      <c r="I127" s="318"/>
      <c r="J127" s="319"/>
      <c r="K127" s="103" t="s">
        <v>16</v>
      </c>
      <c r="L127" s="102" t="s">
        <v>54</v>
      </c>
      <c r="M127" s="74" t="s">
        <v>22</v>
      </c>
      <c r="N127" s="23">
        <v>75100</v>
      </c>
      <c r="O127" s="194">
        <f>SUM(O109:O126)*0.07</f>
        <v>158017.19446065574</v>
      </c>
      <c r="P127" s="119"/>
      <c r="Q127" s="119"/>
      <c r="R127" s="212"/>
      <c r="S127" s="194">
        <f>SUM(S109:S126)*0.07</f>
        <v>0</v>
      </c>
      <c r="T127" s="229">
        <f>SUM(T109:T126)*7/100</f>
        <v>153388.27</v>
      </c>
      <c r="U127" s="235">
        <f t="shared" si="2"/>
        <v>153388.27</v>
      </c>
    </row>
    <row r="128" spans="1:21" s="16" customFormat="1" ht="18" customHeight="1">
      <c r="A128" s="443"/>
      <c r="B128" s="444"/>
      <c r="C128" s="107"/>
      <c r="D128" s="108"/>
      <c r="E128" s="108"/>
      <c r="F128" s="108"/>
      <c r="G128" s="323" t="s">
        <v>83</v>
      </c>
      <c r="H128" s="323"/>
      <c r="I128" s="323"/>
      <c r="J128" s="323"/>
      <c r="K128" s="323"/>
      <c r="L128" s="108"/>
      <c r="M128" s="108"/>
      <c r="N128" s="108"/>
      <c r="O128" s="101">
        <f>SUM(O109:O127)</f>
        <v>2415405.6867557373</v>
      </c>
      <c r="P128" s="101"/>
      <c r="Q128" s="101"/>
      <c r="R128" s="213"/>
      <c r="S128" s="101">
        <f>SUM(S109:S127)</f>
        <v>0</v>
      </c>
      <c r="T128" s="226">
        <f>SUM(T109:T127)</f>
        <v>2344649.27</v>
      </c>
      <c r="U128" s="235">
        <f t="shared" si="2"/>
        <v>2344649.27</v>
      </c>
    </row>
    <row r="129" spans="1:21" s="16" customFormat="1" ht="14.25" customHeight="1">
      <c r="A129" s="443"/>
      <c r="B129" s="444"/>
      <c r="C129" s="341" t="s">
        <v>107</v>
      </c>
      <c r="D129" s="342"/>
      <c r="E129" s="342"/>
      <c r="F129" s="342"/>
      <c r="G129" s="342"/>
      <c r="H129" s="342"/>
      <c r="I129" s="342"/>
      <c r="J129" s="342"/>
      <c r="K129" s="342"/>
      <c r="L129" s="342"/>
      <c r="M129" s="342"/>
      <c r="N129" s="343"/>
      <c r="O129" s="98">
        <f>O107+O128</f>
        <v>2481630.0518557373</v>
      </c>
      <c r="P129" s="98"/>
      <c r="Q129" s="101"/>
      <c r="R129" s="213"/>
      <c r="S129" s="101">
        <f>S107+S128</f>
        <v>0</v>
      </c>
      <c r="T129" s="226">
        <f>T107+T128</f>
        <v>2372094.77</v>
      </c>
      <c r="U129" s="235">
        <f t="shared" si="2"/>
        <v>2372094.77</v>
      </c>
    </row>
    <row r="130" spans="1:21" s="16" customFormat="1" ht="13.5" customHeight="1">
      <c r="A130" s="63"/>
      <c r="B130" s="77"/>
      <c r="C130" s="64"/>
      <c r="D130" s="59"/>
      <c r="E130" s="59"/>
      <c r="F130" s="59"/>
      <c r="G130" s="65"/>
      <c r="H130" s="65"/>
      <c r="I130" s="65"/>
      <c r="J130" s="66"/>
      <c r="K130" s="346" t="s">
        <v>26</v>
      </c>
      <c r="L130" s="347"/>
      <c r="M130" s="347"/>
      <c r="N130" s="347"/>
      <c r="O130" s="99">
        <v>0</v>
      </c>
      <c r="P130" s="99"/>
      <c r="Q130" s="158"/>
      <c r="R130" s="219"/>
      <c r="S130" s="158">
        <v>0</v>
      </c>
      <c r="T130" s="159">
        <v>0</v>
      </c>
      <c r="U130" s="235">
        <f t="shared" si="2"/>
        <v>0</v>
      </c>
    </row>
    <row r="131" spans="1:21" s="16" customFormat="1" ht="14.25" customHeight="1">
      <c r="A131" s="67"/>
      <c r="B131" s="78"/>
      <c r="C131" s="69"/>
      <c r="D131" s="58"/>
      <c r="E131" s="58"/>
      <c r="F131" s="58"/>
      <c r="G131" s="70"/>
      <c r="H131" s="70"/>
      <c r="I131" s="70"/>
      <c r="J131" s="71"/>
      <c r="K131" s="432" t="s">
        <v>27</v>
      </c>
      <c r="L131" s="433"/>
      <c r="M131" s="433"/>
      <c r="N131" s="433"/>
      <c r="O131" s="99">
        <f>O129-O130</f>
        <v>2481630.0518557373</v>
      </c>
      <c r="P131" s="99"/>
      <c r="Q131" s="158"/>
      <c r="R131" s="219"/>
      <c r="S131" s="158">
        <f>S129-S130</f>
        <v>0</v>
      </c>
      <c r="T131" s="159">
        <f>T129-T130</f>
        <v>2372094.77</v>
      </c>
      <c r="U131" s="235">
        <f t="shared" si="2"/>
        <v>2372094.77</v>
      </c>
    </row>
    <row r="132" spans="1:21" ht="18" customHeight="1">
      <c r="A132" s="388" t="s">
        <v>102</v>
      </c>
      <c r="B132" s="389"/>
      <c r="C132" s="480"/>
      <c r="D132" s="480"/>
      <c r="E132" s="480"/>
      <c r="F132" s="480"/>
      <c r="G132" s="480"/>
      <c r="H132" s="480"/>
      <c r="I132" s="480"/>
      <c r="J132" s="480"/>
      <c r="K132" s="480"/>
      <c r="L132" s="480"/>
      <c r="M132" s="480"/>
      <c r="N132" s="480"/>
      <c r="O132" s="480"/>
      <c r="P132" s="174"/>
      <c r="S132" s="229"/>
      <c r="T132" s="229"/>
      <c r="U132" s="235">
        <f t="shared" si="2"/>
        <v>0</v>
      </c>
    </row>
    <row r="133" spans="1:21" ht="12.75" customHeight="1">
      <c r="A133" s="354" t="s">
        <v>36</v>
      </c>
      <c r="B133" s="381"/>
      <c r="C133" s="354" t="s">
        <v>31</v>
      </c>
      <c r="D133" s="355"/>
      <c r="E133" s="355"/>
      <c r="F133" s="355"/>
      <c r="G133" s="385" t="s">
        <v>6</v>
      </c>
      <c r="H133" s="386"/>
      <c r="I133" s="386"/>
      <c r="J133" s="387"/>
      <c r="K133" s="358" t="s">
        <v>7</v>
      </c>
      <c r="L133" s="309" t="s">
        <v>8</v>
      </c>
      <c r="M133" s="310"/>
      <c r="N133" s="310"/>
      <c r="O133" s="310"/>
      <c r="P133" s="167"/>
      <c r="Q133" s="461"/>
      <c r="R133" s="462"/>
      <c r="S133" s="229"/>
      <c r="T133" s="229"/>
      <c r="U133" s="235">
        <f t="shared" si="2"/>
        <v>0</v>
      </c>
    </row>
    <row r="134" spans="1:21" ht="24.75" customHeight="1">
      <c r="A134" s="382"/>
      <c r="B134" s="383"/>
      <c r="C134" s="356"/>
      <c r="D134" s="357"/>
      <c r="E134" s="357"/>
      <c r="F134" s="357"/>
      <c r="G134" s="94" t="s">
        <v>9</v>
      </c>
      <c r="H134" s="94" t="s">
        <v>10</v>
      </c>
      <c r="I134" s="94" t="s">
        <v>11</v>
      </c>
      <c r="J134" s="94" t="s">
        <v>12</v>
      </c>
      <c r="K134" s="359"/>
      <c r="L134" s="94" t="s">
        <v>13</v>
      </c>
      <c r="M134" s="94" t="s">
        <v>14</v>
      </c>
      <c r="N134" s="94" t="s">
        <v>15</v>
      </c>
      <c r="O134" s="94" t="s">
        <v>61</v>
      </c>
      <c r="P134" s="94"/>
      <c r="Q134" s="94"/>
      <c r="R134" s="211"/>
      <c r="S134" s="229"/>
      <c r="T134" s="229"/>
      <c r="U134" s="235">
        <f t="shared" si="2"/>
        <v>0</v>
      </c>
    </row>
    <row r="135" spans="1:21" s="16" customFormat="1" ht="20.25" customHeight="1">
      <c r="A135" s="339" t="s">
        <v>85</v>
      </c>
      <c r="B135" s="340"/>
      <c r="C135" s="320" t="s">
        <v>42</v>
      </c>
      <c r="D135" s="321"/>
      <c r="E135" s="321"/>
      <c r="F135" s="321"/>
      <c r="G135" s="321"/>
      <c r="H135" s="321"/>
      <c r="I135" s="321"/>
      <c r="J135" s="321"/>
      <c r="K135" s="321"/>
      <c r="L135" s="321"/>
      <c r="M135" s="321"/>
      <c r="N135" s="321"/>
      <c r="O135" s="321"/>
      <c r="P135" s="173"/>
      <c r="S135" s="229"/>
      <c r="T135" s="229"/>
      <c r="U135" s="235">
        <f t="shared" si="2"/>
        <v>0</v>
      </c>
    </row>
    <row r="136" spans="1:21" s="16" customFormat="1" ht="18" customHeight="1">
      <c r="A136" s="434" t="s">
        <v>86</v>
      </c>
      <c r="B136" s="410"/>
      <c r="C136" s="269" t="s">
        <v>131</v>
      </c>
      <c r="D136" s="270"/>
      <c r="E136" s="270"/>
      <c r="F136" s="271"/>
      <c r="G136" s="314"/>
      <c r="H136" s="314"/>
      <c r="I136" s="314"/>
      <c r="J136" s="314"/>
      <c r="K136" s="313" t="s">
        <v>16</v>
      </c>
      <c r="L136" s="54" t="s">
        <v>54</v>
      </c>
      <c r="M136" s="54" t="s">
        <v>22</v>
      </c>
      <c r="N136" s="55">
        <v>71600</v>
      </c>
      <c r="O136" s="21">
        <v>1500</v>
      </c>
      <c r="P136" s="119"/>
      <c r="Q136" s="157"/>
      <c r="R136" s="212"/>
      <c r="S136" s="229"/>
      <c r="T136" s="229"/>
      <c r="U136" s="235">
        <f t="shared" si="2"/>
        <v>0</v>
      </c>
    </row>
    <row r="137" spans="1:24" s="16" customFormat="1" ht="21.75" customHeight="1">
      <c r="A137" s="434"/>
      <c r="B137" s="410"/>
      <c r="C137" s="272"/>
      <c r="D137" s="273"/>
      <c r="E137" s="273"/>
      <c r="F137" s="274"/>
      <c r="G137" s="312"/>
      <c r="H137" s="312"/>
      <c r="I137" s="312"/>
      <c r="J137" s="312"/>
      <c r="K137" s="316"/>
      <c r="L137" s="51" t="s">
        <v>54</v>
      </c>
      <c r="M137" s="51" t="s">
        <v>22</v>
      </c>
      <c r="N137" s="23">
        <v>75700</v>
      </c>
      <c r="O137" s="194">
        <v>3646</v>
      </c>
      <c r="P137" s="119"/>
      <c r="Q137" s="157"/>
      <c r="R137" s="212"/>
      <c r="S137" s="229"/>
      <c r="T137" s="229"/>
      <c r="U137" s="235">
        <f t="shared" si="2"/>
        <v>0</v>
      </c>
      <c r="X137" s="149"/>
    </row>
    <row r="138" spans="1:21" s="16" customFormat="1" ht="25.5" customHeight="1">
      <c r="A138" s="434"/>
      <c r="B138" s="410"/>
      <c r="C138" s="269" t="s">
        <v>43</v>
      </c>
      <c r="D138" s="270"/>
      <c r="E138" s="270"/>
      <c r="F138" s="271"/>
      <c r="G138" s="147"/>
      <c r="H138" s="147"/>
      <c r="I138" s="147"/>
      <c r="J138" s="147"/>
      <c r="K138" s="315" t="s">
        <v>16</v>
      </c>
      <c r="L138" s="51" t="s">
        <v>54</v>
      </c>
      <c r="M138" s="51" t="s">
        <v>22</v>
      </c>
      <c r="N138" s="23">
        <v>71600</v>
      </c>
      <c r="O138" s="21">
        <v>4000</v>
      </c>
      <c r="P138" s="119"/>
      <c r="Q138" s="157"/>
      <c r="R138" s="212"/>
      <c r="S138" s="229"/>
      <c r="T138" s="229"/>
      <c r="U138" s="235">
        <f t="shared" si="2"/>
        <v>0</v>
      </c>
    </row>
    <row r="139" spans="1:24" s="16" customFormat="1" ht="19.5" customHeight="1">
      <c r="A139" s="135"/>
      <c r="B139" s="56"/>
      <c r="C139" s="272"/>
      <c r="D139" s="273"/>
      <c r="E139" s="273"/>
      <c r="F139" s="274"/>
      <c r="G139" s="104"/>
      <c r="H139" s="104"/>
      <c r="I139" s="104"/>
      <c r="J139" s="104"/>
      <c r="K139" s="316"/>
      <c r="L139" s="51" t="s">
        <v>54</v>
      </c>
      <c r="M139" s="51" t="s">
        <v>22</v>
      </c>
      <c r="N139" s="23">
        <v>75700</v>
      </c>
      <c r="O139" s="21">
        <v>8000</v>
      </c>
      <c r="P139" s="119"/>
      <c r="Q139" s="157"/>
      <c r="R139" s="212"/>
      <c r="S139" s="229"/>
      <c r="T139" s="229"/>
      <c r="U139" s="235">
        <f t="shared" si="2"/>
        <v>0</v>
      </c>
      <c r="X139" s="149"/>
    </row>
    <row r="140" spans="1:24" s="16" customFormat="1" ht="19.5" customHeight="1">
      <c r="A140" s="344" t="s">
        <v>100</v>
      </c>
      <c r="B140" s="345"/>
      <c r="C140" s="269" t="s">
        <v>44</v>
      </c>
      <c r="D140" s="270"/>
      <c r="E140" s="270"/>
      <c r="F140" s="271"/>
      <c r="G140" s="311"/>
      <c r="H140" s="311"/>
      <c r="I140" s="311"/>
      <c r="J140" s="311"/>
      <c r="K140" s="315" t="s">
        <v>16</v>
      </c>
      <c r="L140" s="51" t="s">
        <v>54</v>
      </c>
      <c r="M140" s="51" t="s">
        <v>22</v>
      </c>
      <c r="N140" s="23">
        <v>71300</v>
      </c>
      <c r="O140" s="21">
        <v>50000</v>
      </c>
      <c r="P140" s="119"/>
      <c r="Q140" s="157"/>
      <c r="R140" s="212"/>
      <c r="S140" s="229"/>
      <c r="T140" s="229"/>
      <c r="U140" s="235">
        <f t="shared" si="2"/>
        <v>0</v>
      </c>
      <c r="X140" s="149"/>
    </row>
    <row r="141" spans="1:24" s="16" customFormat="1" ht="18" customHeight="1">
      <c r="A141" s="344"/>
      <c r="B141" s="345"/>
      <c r="C141" s="295"/>
      <c r="D141" s="296"/>
      <c r="E141" s="296"/>
      <c r="F141" s="297"/>
      <c r="G141" s="314"/>
      <c r="H141" s="314"/>
      <c r="I141" s="314"/>
      <c r="J141" s="314"/>
      <c r="K141" s="313"/>
      <c r="L141" s="51" t="s">
        <v>54</v>
      </c>
      <c r="M141" s="51" t="s">
        <v>22</v>
      </c>
      <c r="N141" s="23">
        <v>72100</v>
      </c>
      <c r="O141" s="21">
        <v>1200</v>
      </c>
      <c r="P141" s="119"/>
      <c r="Q141" s="157"/>
      <c r="R141" s="212"/>
      <c r="S141" s="229"/>
      <c r="T141" s="229"/>
      <c r="U141" s="235">
        <f t="shared" si="2"/>
        <v>0</v>
      </c>
      <c r="X141" s="149"/>
    </row>
    <row r="142" spans="1:24" s="16" customFormat="1" ht="18" customHeight="1">
      <c r="A142" s="344"/>
      <c r="B142" s="345"/>
      <c r="C142" s="295"/>
      <c r="D142" s="296"/>
      <c r="E142" s="296"/>
      <c r="F142" s="297"/>
      <c r="G142" s="314"/>
      <c r="H142" s="314"/>
      <c r="I142" s="314"/>
      <c r="J142" s="314"/>
      <c r="K142" s="313"/>
      <c r="L142" s="176" t="s">
        <v>54</v>
      </c>
      <c r="M142" s="176" t="s">
        <v>22</v>
      </c>
      <c r="N142" s="23">
        <v>74200</v>
      </c>
      <c r="O142" s="21">
        <v>9000</v>
      </c>
      <c r="P142" s="119"/>
      <c r="Q142" s="157"/>
      <c r="R142" s="212"/>
      <c r="S142" s="229"/>
      <c r="T142" s="229"/>
      <c r="U142" s="235">
        <f t="shared" si="2"/>
        <v>0</v>
      </c>
      <c r="X142" s="149"/>
    </row>
    <row r="143" spans="1:24" s="16" customFormat="1" ht="18" customHeight="1">
      <c r="A143" s="344"/>
      <c r="B143" s="345"/>
      <c r="C143" s="272"/>
      <c r="D143" s="273"/>
      <c r="E143" s="273"/>
      <c r="F143" s="274"/>
      <c r="G143" s="312"/>
      <c r="H143" s="312"/>
      <c r="I143" s="312"/>
      <c r="J143" s="312"/>
      <c r="K143" s="316"/>
      <c r="L143" s="51" t="s">
        <v>54</v>
      </c>
      <c r="M143" s="51" t="s">
        <v>22</v>
      </c>
      <c r="N143" s="23">
        <v>75700</v>
      </c>
      <c r="O143" s="194">
        <v>12440</v>
      </c>
      <c r="P143" s="119"/>
      <c r="Q143" s="157"/>
      <c r="R143" s="212"/>
      <c r="S143" s="229"/>
      <c r="T143" s="229"/>
      <c r="U143" s="235">
        <f aca="true" t="shared" si="3" ref="U143:U207">S143+T143</f>
        <v>0</v>
      </c>
      <c r="X143" s="149"/>
    </row>
    <row r="144" spans="1:24" s="16" customFormat="1" ht="21.75" customHeight="1">
      <c r="A144" s="344"/>
      <c r="B144" s="345"/>
      <c r="C144" s="281" t="s">
        <v>87</v>
      </c>
      <c r="D144" s="282"/>
      <c r="E144" s="282"/>
      <c r="F144" s="282"/>
      <c r="G144" s="311"/>
      <c r="H144" s="311"/>
      <c r="I144" s="311"/>
      <c r="J144" s="311"/>
      <c r="K144" s="315" t="s">
        <v>16</v>
      </c>
      <c r="L144" s="51" t="s">
        <v>54</v>
      </c>
      <c r="M144" s="51" t="s">
        <v>22</v>
      </c>
      <c r="N144" s="23">
        <v>71600</v>
      </c>
      <c r="O144" s="21">
        <v>0</v>
      </c>
      <c r="P144" s="119"/>
      <c r="Q144" s="157"/>
      <c r="R144" s="212"/>
      <c r="S144" s="229"/>
      <c r="T144" s="229"/>
      <c r="U144" s="235">
        <f t="shared" si="3"/>
        <v>0</v>
      </c>
      <c r="X144" s="149"/>
    </row>
    <row r="145" spans="1:24" s="16" customFormat="1" ht="21.75" customHeight="1">
      <c r="A145" s="344"/>
      <c r="B145" s="345"/>
      <c r="C145" s="284"/>
      <c r="D145" s="285"/>
      <c r="E145" s="285"/>
      <c r="F145" s="285"/>
      <c r="G145" s="312"/>
      <c r="H145" s="312"/>
      <c r="I145" s="312"/>
      <c r="J145" s="312"/>
      <c r="K145" s="316"/>
      <c r="L145" s="51" t="s">
        <v>54</v>
      </c>
      <c r="M145" s="51" t="s">
        <v>22</v>
      </c>
      <c r="N145" s="23">
        <v>72600</v>
      </c>
      <c r="O145" s="194">
        <v>0</v>
      </c>
      <c r="P145" s="119"/>
      <c r="Q145" s="157"/>
      <c r="R145" s="212"/>
      <c r="S145" s="229"/>
      <c r="T145" s="229"/>
      <c r="U145" s="235">
        <f t="shared" si="3"/>
        <v>0</v>
      </c>
      <c r="W145" s="245"/>
      <c r="X145" s="246"/>
    </row>
    <row r="146" spans="1:21" s="16" customFormat="1" ht="38.25" customHeight="1">
      <c r="A146" s="344"/>
      <c r="B146" s="345"/>
      <c r="C146" s="281" t="s">
        <v>88</v>
      </c>
      <c r="D146" s="282"/>
      <c r="E146" s="282"/>
      <c r="F146" s="283"/>
      <c r="G146" s="112"/>
      <c r="H146" s="112"/>
      <c r="I146" s="112"/>
      <c r="J146" s="112"/>
      <c r="K146" s="315" t="s">
        <v>16</v>
      </c>
      <c r="L146" s="115" t="s">
        <v>54</v>
      </c>
      <c r="M146" s="115" t="s">
        <v>22</v>
      </c>
      <c r="N146" s="23">
        <v>71600</v>
      </c>
      <c r="O146" s="21">
        <v>0</v>
      </c>
      <c r="P146" s="119"/>
      <c r="Q146" s="157"/>
      <c r="R146" s="212"/>
      <c r="S146" s="229"/>
      <c r="T146" s="229"/>
      <c r="U146" s="235">
        <f t="shared" si="3"/>
        <v>0</v>
      </c>
    </row>
    <row r="147" spans="1:21" s="16" customFormat="1" ht="42.75" customHeight="1">
      <c r="A147" s="344"/>
      <c r="B147" s="345"/>
      <c r="C147" s="284"/>
      <c r="D147" s="285"/>
      <c r="E147" s="285"/>
      <c r="F147" s="286"/>
      <c r="G147" s="111"/>
      <c r="H147" s="111"/>
      <c r="I147" s="111"/>
      <c r="J147" s="111"/>
      <c r="K147" s="316"/>
      <c r="L147" s="115" t="s">
        <v>54</v>
      </c>
      <c r="M147" s="74" t="s">
        <v>22</v>
      </c>
      <c r="N147" s="23">
        <v>72600</v>
      </c>
      <c r="O147" s="21">
        <v>15000</v>
      </c>
      <c r="P147" s="119"/>
      <c r="Q147" s="157"/>
      <c r="R147" s="212"/>
      <c r="S147" s="229"/>
      <c r="T147" s="229"/>
      <c r="U147" s="235">
        <f t="shared" si="3"/>
        <v>0</v>
      </c>
    </row>
    <row r="148" spans="1:21" s="16" customFormat="1" ht="25.5" customHeight="1">
      <c r="A148" s="344"/>
      <c r="B148" s="345"/>
      <c r="C148" s="254" t="s">
        <v>140</v>
      </c>
      <c r="D148" s="255"/>
      <c r="E148" s="255"/>
      <c r="F148" s="256"/>
      <c r="G148" s="200"/>
      <c r="H148" s="200"/>
      <c r="I148" s="200"/>
      <c r="J148" s="200"/>
      <c r="K148" s="6" t="s">
        <v>16</v>
      </c>
      <c r="L148" s="7" t="s">
        <v>54</v>
      </c>
      <c r="M148" s="7" t="s">
        <v>22</v>
      </c>
      <c r="N148" s="6">
        <v>71600</v>
      </c>
      <c r="O148" s="191">
        <v>5500</v>
      </c>
      <c r="P148" s="119"/>
      <c r="Q148" s="157"/>
      <c r="R148" s="212"/>
      <c r="S148" s="229"/>
      <c r="T148" s="229"/>
      <c r="U148" s="235">
        <f t="shared" si="3"/>
        <v>0</v>
      </c>
    </row>
    <row r="149" spans="1:21" s="16" customFormat="1" ht="27" customHeight="1">
      <c r="A149" s="344"/>
      <c r="B149" s="345"/>
      <c r="C149" s="384" t="s">
        <v>40</v>
      </c>
      <c r="D149" s="384"/>
      <c r="E149" s="384"/>
      <c r="F149" s="384"/>
      <c r="G149" s="82"/>
      <c r="H149" s="83"/>
      <c r="I149" s="83"/>
      <c r="J149" s="84"/>
      <c r="K149" s="50" t="s">
        <v>16</v>
      </c>
      <c r="L149" s="51" t="s">
        <v>54</v>
      </c>
      <c r="M149" s="22" t="s">
        <v>22</v>
      </c>
      <c r="N149" s="153">
        <v>75100</v>
      </c>
      <c r="O149" s="195">
        <f>SUM(O136:O148)*0.07</f>
        <v>7720.02</v>
      </c>
      <c r="P149" s="49"/>
      <c r="Q149" s="49"/>
      <c r="R149" s="217"/>
      <c r="S149" s="195">
        <f>SUM(S136:S148)*0.07</f>
        <v>0</v>
      </c>
      <c r="T149" s="195">
        <f>SUM(T136:T148)*0.07</f>
        <v>0</v>
      </c>
      <c r="U149" s="235">
        <f t="shared" si="3"/>
        <v>0</v>
      </c>
    </row>
    <row r="150" spans="1:21" s="16" customFormat="1" ht="15" customHeight="1">
      <c r="A150" s="344"/>
      <c r="B150" s="345"/>
      <c r="C150" s="322" t="s">
        <v>38</v>
      </c>
      <c r="D150" s="323"/>
      <c r="E150" s="323"/>
      <c r="F150" s="323"/>
      <c r="G150" s="323"/>
      <c r="H150" s="323"/>
      <c r="I150" s="323"/>
      <c r="J150" s="323"/>
      <c r="K150" s="323"/>
      <c r="L150" s="323"/>
      <c r="M150" s="323"/>
      <c r="N150" s="324"/>
      <c r="O150" s="101">
        <f>SUM(O134:O149)</f>
        <v>118006.02</v>
      </c>
      <c r="P150" s="101"/>
      <c r="Q150" s="101"/>
      <c r="R150" s="213"/>
      <c r="S150" s="101">
        <f>SUM(S134:S149)</f>
        <v>0</v>
      </c>
      <c r="T150" s="101">
        <f>SUM(T134:T149)</f>
        <v>0</v>
      </c>
      <c r="U150" s="235">
        <f t="shared" si="3"/>
        <v>0</v>
      </c>
    </row>
    <row r="151" spans="1:21" s="16" customFormat="1" ht="15" customHeight="1">
      <c r="A151" s="344"/>
      <c r="B151" s="345"/>
      <c r="C151" s="362" t="s">
        <v>89</v>
      </c>
      <c r="D151" s="363"/>
      <c r="E151" s="363"/>
      <c r="F151" s="363"/>
      <c r="G151" s="363"/>
      <c r="H151" s="363"/>
      <c r="I151" s="363"/>
      <c r="J151" s="363"/>
      <c r="K151" s="363"/>
      <c r="L151" s="363"/>
      <c r="M151" s="363"/>
      <c r="N151" s="363"/>
      <c r="O151" s="363"/>
      <c r="P151" s="173"/>
      <c r="Q151" s="155"/>
      <c r="R151" s="149"/>
      <c r="S151" s="229"/>
      <c r="T151" s="229"/>
      <c r="U151" s="235">
        <f t="shared" si="3"/>
        <v>0</v>
      </c>
    </row>
    <row r="152" spans="1:21" s="16" customFormat="1" ht="15" customHeight="1">
      <c r="A152" s="344"/>
      <c r="B152" s="345"/>
      <c r="C152" s="364"/>
      <c r="D152" s="365"/>
      <c r="E152" s="365"/>
      <c r="F152" s="365"/>
      <c r="G152" s="365"/>
      <c r="H152" s="365"/>
      <c r="I152" s="365"/>
      <c r="J152" s="365"/>
      <c r="K152" s="365"/>
      <c r="L152" s="365"/>
      <c r="M152" s="365"/>
      <c r="N152" s="365"/>
      <c r="O152" s="365"/>
      <c r="P152" s="173"/>
      <c r="S152" s="229"/>
      <c r="T152" s="229"/>
      <c r="U152" s="235">
        <f t="shared" si="3"/>
        <v>0</v>
      </c>
    </row>
    <row r="153" spans="1:21" s="16" customFormat="1" ht="24.75" customHeight="1">
      <c r="A153" s="344"/>
      <c r="B153" s="345"/>
      <c r="C153" s="269" t="s">
        <v>150</v>
      </c>
      <c r="D153" s="270"/>
      <c r="E153" s="270"/>
      <c r="F153" s="271"/>
      <c r="G153" s="311"/>
      <c r="H153" s="311"/>
      <c r="I153" s="311"/>
      <c r="J153" s="311"/>
      <c r="K153" s="315" t="s">
        <v>16</v>
      </c>
      <c r="L153" s="51" t="s">
        <v>54</v>
      </c>
      <c r="M153" s="51" t="s">
        <v>22</v>
      </c>
      <c r="N153" s="23">
        <v>71300</v>
      </c>
      <c r="O153" s="21">
        <v>50000</v>
      </c>
      <c r="P153" s="119"/>
      <c r="Q153" s="157"/>
      <c r="R153" s="212"/>
      <c r="S153" s="229"/>
      <c r="T153" s="229"/>
      <c r="U153" s="235">
        <f t="shared" si="3"/>
        <v>0</v>
      </c>
    </row>
    <row r="154" spans="1:24" s="16" customFormat="1" ht="15.75" customHeight="1">
      <c r="A154" s="344"/>
      <c r="B154" s="345"/>
      <c r="C154" s="295"/>
      <c r="D154" s="296"/>
      <c r="E154" s="296"/>
      <c r="F154" s="297"/>
      <c r="G154" s="314"/>
      <c r="H154" s="314"/>
      <c r="I154" s="314"/>
      <c r="J154" s="314"/>
      <c r="K154" s="313"/>
      <c r="L154" s="115" t="s">
        <v>54</v>
      </c>
      <c r="M154" s="115" t="s">
        <v>22</v>
      </c>
      <c r="N154" s="23">
        <v>71600</v>
      </c>
      <c r="O154" s="21">
        <v>6000</v>
      </c>
      <c r="P154" s="119"/>
      <c r="Q154" s="157"/>
      <c r="R154" s="212"/>
      <c r="S154" s="229"/>
      <c r="T154" s="229"/>
      <c r="U154" s="235">
        <f t="shared" si="3"/>
        <v>0</v>
      </c>
      <c r="X154" s="149"/>
    </row>
    <row r="155" spans="1:21" s="16" customFormat="1" ht="23.25" customHeight="1">
      <c r="A155" s="344"/>
      <c r="B155" s="345"/>
      <c r="C155" s="272"/>
      <c r="D155" s="273"/>
      <c r="E155" s="273"/>
      <c r="F155" s="274"/>
      <c r="G155" s="312"/>
      <c r="H155" s="312"/>
      <c r="I155" s="312"/>
      <c r="J155" s="312"/>
      <c r="K155" s="316"/>
      <c r="L155" s="51" t="s">
        <v>54</v>
      </c>
      <c r="M155" s="51" t="s">
        <v>22</v>
      </c>
      <c r="N155" s="23">
        <v>75700</v>
      </c>
      <c r="O155" s="21">
        <v>15000</v>
      </c>
      <c r="P155" s="119"/>
      <c r="Q155" s="157"/>
      <c r="R155" s="212"/>
      <c r="S155" s="229"/>
      <c r="T155" s="229"/>
      <c r="U155" s="235">
        <f t="shared" si="3"/>
        <v>0</v>
      </c>
    </row>
    <row r="156" spans="1:24" s="16" customFormat="1" ht="31.5" customHeight="1">
      <c r="A156" s="344"/>
      <c r="B156" s="345"/>
      <c r="C156" s="269" t="s">
        <v>45</v>
      </c>
      <c r="D156" s="270"/>
      <c r="E156" s="270"/>
      <c r="F156" s="271"/>
      <c r="G156" s="105"/>
      <c r="H156" s="105"/>
      <c r="I156" s="105"/>
      <c r="J156" s="105"/>
      <c r="K156" s="51" t="s">
        <v>16</v>
      </c>
      <c r="L156" s="51" t="s">
        <v>54</v>
      </c>
      <c r="M156" s="51" t="s">
        <v>22</v>
      </c>
      <c r="N156" s="23">
        <v>71300</v>
      </c>
      <c r="O156" s="21">
        <v>20000</v>
      </c>
      <c r="P156" s="119"/>
      <c r="Q156" s="157"/>
      <c r="R156" s="212"/>
      <c r="S156" s="229"/>
      <c r="T156" s="229"/>
      <c r="U156" s="235">
        <f t="shared" si="3"/>
        <v>0</v>
      </c>
      <c r="X156" s="149"/>
    </row>
    <row r="157" spans="1:24" s="16" customFormat="1" ht="22.5" customHeight="1">
      <c r="A157" s="344"/>
      <c r="B157" s="345"/>
      <c r="C157" s="272"/>
      <c r="D157" s="273"/>
      <c r="E157" s="273"/>
      <c r="F157" s="274"/>
      <c r="G157" s="241"/>
      <c r="H157" s="241"/>
      <c r="I157" s="241"/>
      <c r="J157" s="241"/>
      <c r="K157" s="243" t="s">
        <v>16</v>
      </c>
      <c r="L157" s="243" t="s">
        <v>54</v>
      </c>
      <c r="M157" s="243" t="s">
        <v>22</v>
      </c>
      <c r="N157" s="23">
        <v>72100</v>
      </c>
      <c r="O157" s="21">
        <v>5000</v>
      </c>
      <c r="P157" s="119"/>
      <c r="Q157" s="157"/>
      <c r="R157" s="212"/>
      <c r="S157" s="229"/>
      <c r="T157" s="229"/>
      <c r="U157" s="235"/>
      <c r="X157" s="149"/>
    </row>
    <row r="158" spans="1:24" s="16" customFormat="1" ht="26.25" customHeight="1">
      <c r="A158" s="344"/>
      <c r="B158" s="345"/>
      <c r="C158" s="269" t="s">
        <v>46</v>
      </c>
      <c r="D158" s="270"/>
      <c r="E158" s="270"/>
      <c r="F158" s="271"/>
      <c r="G158" s="311"/>
      <c r="H158" s="311"/>
      <c r="I158" s="311"/>
      <c r="J158" s="311"/>
      <c r="K158" s="315" t="s">
        <v>16</v>
      </c>
      <c r="L158" s="51" t="s">
        <v>54</v>
      </c>
      <c r="M158" s="51" t="s">
        <v>22</v>
      </c>
      <c r="N158" s="23">
        <v>72100</v>
      </c>
      <c r="O158" s="21">
        <f>1500+4000</f>
        <v>5500</v>
      </c>
      <c r="P158" s="119"/>
      <c r="Q158" s="157"/>
      <c r="R158" s="212"/>
      <c r="S158" s="229"/>
      <c r="T158" s="229"/>
      <c r="U158" s="235">
        <f t="shared" si="3"/>
        <v>0</v>
      </c>
      <c r="X158" s="149"/>
    </row>
    <row r="159" spans="1:24" s="16" customFormat="1" ht="26.25" customHeight="1">
      <c r="A159" s="344"/>
      <c r="B159" s="345"/>
      <c r="C159" s="272"/>
      <c r="D159" s="273"/>
      <c r="E159" s="273"/>
      <c r="F159" s="274"/>
      <c r="G159" s="312"/>
      <c r="H159" s="312"/>
      <c r="I159" s="312"/>
      <c r="J159" s="312"/>
      <c r="K159" s="316"/>
      <c r="L159" s="51" t="s">
        <v>54</v>
      </c>
      <c r="M159" s="51" t="s">
        <v>22</v>
      </c>
      <c r="N159" s="23">
        <v>74200</v>
      </c>
      <c r="O159" s="21">
        <f>1500+3000</f>
        <v>4500</v>
      </c>
      <c r="P159" s="119"/>
      <c r="Q159" s="157"/>
      <c r="R159" s="212"/>
      <c r="S159" s="229"/>
      <c r="T159" s="229"/>
      <c r="U159" s="235">
        <f t="shared" si="3"/>
        <v>0</v>
      </c>
      <c r="X159" s="149"/>
    </row>
    <row r="160" spans="1:24" s="16" customFormat="1" ht="21" customHeight="1">
      <c r="A160" s="344"/>
      <c r="B160" s="345"/>
      <c r="C160" s="269" t="s">
        <v>47</v>
      </c>
      <c r="D160" s="270"/>
      <c r="E160" s="270"/>
      <c r="F160" s="271"/>
      <c r="G160" s="311"/>
      <c r="H160" s="311"/>
      <c r="I160" s="311"/>
      <c r="J160" s="311"/>
      <c r="K160" s="315" t="s">
        <v>16</v>
      </c>
      <c r="L160" s="51" t="s">
        <v>54</v>
      </c>
      <c r="M160" s="51" t="s">
        <v>22</v>
      </c>
      <c r="N160" s="23">
        <v>71600</v>
      </c>
      <c r="O160" s="21">
        <v>15000</v>
      </c>
      <c r="P160" s="119"/>
      <c r="Q160" s="157"/>
      <c r="R160" s="212"/>
      <c r="S160" s="229"/>
      <c r="T160" s="229"/>
      <c r="U160" s="235">
        <f t="shared" si="3"/>
        <v>0</v>
      </c>
      <c r="X160" s="149"/>
    </row>
    <row r="161" spans="1:24" s="16" customFormat="1" ht="21" customHeight="1">
      <c r="A161" s="344"/>
      <c r="B161" s="345"/>
      <c r="C161" s="295"/>
      <c r="D161" s="296"/>
      <c r="E161" s="296"/>
      <c r="F161" s="297"/>
      <c r="G161" s="314"/>
      <c r="H161" s="314"/>
      <c r="I161" s="314"/>
      <c r="J161" s="314"/>
      <c r="K161" s="313"/>
      <c r="L161" s="176" t="s">
        <v>54</v>
      </c>
      <c r="M161" s="176" t="s">
        <v>22</v>
      </c>
      <c r="N161" s="23">
        <v>72200</v>
      </c>
      <c r="O161" s="21">
        <v>0</v>
      </c>
      <c r="P161" s="119"/>
      <c r="Q161" s="157"/>
      <c r="R161" s="212"/>
      <c r="S161" s="229"/>
      <c r="T161" s="229"/>
      <c r="U161" s="235">
        <f t="shared" si="3"/>
        <v>0</v>
      </c>
      <c r="X161" s="149"/>
    </row>
    <row r="162" spans="1:24" s="16" customFormat="1" ht="21.75" customHeight="1">
      <c r="A162" s="344"/>
      <c r="B162" s="345"/>
      <c r="C162" s="295"/>
      <c r="D162" s="296"/>
      <c r="E162" s="296"/>
      <c r="F162" s="297"/>
      <c r="G162" s="314"/>
      <c r="H162" s="314"/>
      <c r="I162" s="314"/>
      <c r="J162" s="314"/>
      <c r="K162" s="313"/>
      <c r="L162" s="51" t="s">
        <v>54</v>
      </c>
      <c r="M162" s="51" t="s">
        <v>22</v>
      </c>
      <c r="N162" s="23">
        <v>74200</v>
      </c>
      <c r="O162" s="21">
        <v>3000</v>
      </c>
      <c r="P162" s="119"/>
      <c r="Q162" s="157"/>
      <c r="R162" s="212"/>
      <c r="S162" s="229"/>
      <c r="T162" s="229"/>
      <c r="U162" s="235">
        <f t="shared" si="3"/>
        <v>0</v>
      </c>
      <c r="X162" s="149"/>
    </row>
    <row r="163" spans="1:24" s="16" customFormat="1" ht="21.75" customHeight="1">
      <c r="A163" s="344"/>
      <c r="B163" s="345"/>
      <c r="C163" s="295"/>
      <c r="D163" s="296"/>
      <c r="E163" s="296"/>
      <c r="F163" s="297"/>
      <c r="G163" s="314"/>
      <c r="H163" s="314"/>
      <c r="I163" s="314"/>
      <c r="J163" s="314"/>
      <c r="K163" s="313"/>
      <c r="L163" s="197" t="s">
        <v>54</v>
      </c>
      <c r="M163" s="197" t="s">
        <v>22</v>
      </c>
      <c r="N163" s="23">
        <v>74220</v>
      </c>
      <c r="O163" s="21">
        <v>4000</v>
      </c>
      <c r="P163" s="119"/>
      <c r="Q163" s="157"/>
      <c r="R163" s="212"/>
      <c r="S163" s="229"/>
      <c r="T163" s="229"/>
      <c r="U163" s="235">
        <f t="shared" si="3"/>
        <v>0</v>
      </c>
      <c r="W163" s="245"/>
      <c r="X163" s="246"/>
    </row>
    <row r="164" spans="1:21" s="16" customFormat="1" ht="18" customHeight="1">
      <c r="A164" s="344"/>
      <c r="B164" s="345"/>
      <c r="C164" s="272"/>
      <c r="D164" s="273"/>
      <c r="E164" s="273"/>
      <c r="F164" s="274"/>
      <c r="G164" s="312"/>
      <c r="H164" s="312"/>
      <c r="I164" s="312"/>
      <c r="J164" s="312"/>
      <c r="K164" s="316"/>
      <c r="L164" s="51" t="s">
        <v>54</v>
      </c>
      <c r="M164" s="51" t="s">
        <v>22</v>
      </c>
      <c r="N164" s="23">
        <v>75700</v>
      </c>
      <c r="O164" s="21">
        <f>10*260*0.901</f>
        <v>2342.6</v>
      </c>
      <c r="P164" s="119"/>
      <c r="Q164" s="157"/>
      <c r="R164" s="212"/>
      <c r="S164" s="229"/>
      <c r="T164" s="229"/>
      <c r="U164" s="235">
        <f t="shared" si="3"/>
        <v>0</v>
      </c>
    </row>
    <row r="165" spans="1:21" s="16" customFormat="1" ht="18" customHeight="1">
      <c r="A165" s="344"/>
      <c r="B165" s="345"/>
      <c r="C165" s="331" t="s">
        <v>48</v>
      </c>
      <c r="D165" s="332"/>
      <c r="E165" s="332"/>
      <c r="F165" s="332"/>
      <c r="G165" s="105"/>
      <c r="H165" s="105"/>
      <c r="I165" s="105"/>
      <c r="J165" s="105"/>
      <c r="K165" s="50" t="s">
        <v>16</v>
      </c>
      <c r="L165" s="51" t="s">
        <v>54</v>
      </c>
      <c r="M165" s="22" t="s">
        <v>22</v>
      </c>
      <c r="N165" s="23">
        <v>72100</v>
      </c>
      <c r="O165" s="21">
        <v>7500</v>
      </c>
      <c r="P165" s="119"/>
      <c r="Q165" s="157"/>
      <c r="R165" s="212"/>
      <c r="S165" s="229"/>
      <c r="T165" s="229"/>
      <c r="U165" s="235">
        <f t="shared" si="3"/>
        <v>0</v>
      </c>
    </row>
    <row r="166" spans="1:21" s="16" customFormat="1" ht="18" customHeight="1">
      <c r="A166" s="344"/>
      <c r="B166" s="345"/>
      <c r="C166" s="281" t="s">
        <v>49</v>
      </c>
      <c r="D166" s="282"/>
      <c r="E166" s="282"/>
      <c r="F166" s="282"/>
      <c r="G166" s="311"/>
      <c r="H166" s="311"/>
      <c r="I166" s="311"/>
      <c r="J166" s="311"/>
      <c r="K166" s="315" t="s">
        <v>16</v>
      </c>
      <c r="L166" s="51" t="s">
        <v>54</v>
      </c>
      <c r="M166" s="51" t="s">
        <v>22</v>
      </c>
      <c r="N166" s="23">
        <v>71600</v>
      </c>
      <c r="O166" s="21">
        <v>5000</v>
      </c>
      <c r="P166" s="119"/>
      <c r="Q166" s="157"/>
      <c r="R166" s="212"/>
      <c r="S166" s="229"/>
      <c r="T166" s="229"/>
      <c r="U166" s="235">
        <f t="shared" si="3"/>
        <v>0</v>
      </c>
    </row>
    <row r="167" spans="1:21" s="16" customFormat="1" ht="18" customHeight="1">
      <c r="A167" s="344"/>
      <c r="B167" s="345"/>
      <c r="C167" s="334"/>
      <c r="D167" s="335"/>
      <c r="E167" s="335"/>
      <c r="F167" s="335"/>
      <c r="G167" s="314"/>
      <c r="H167" s="314"/>
      <c r="I167" s="314"/>
      <c r="J167" s="314"/>
      <c r="K167" s="313"/>
      <c r="L167" s="197" t="s">
        <v>54</v>
      </c>
      <c r="M167" s="197" t="s">
        <v>22</v>
      </c>
      <c r="N167" s="23">
        <v>74220</v>
      </c>
      <c r="O167" s="21">
        <v>0</v>
      </c>
      <c r="P167" s="119"/>
      <c r="Q167" s="157"/>
      <c r="R167" s="212"/>
      <c r="S167" s="229"/>
      <c r="T167" s="229"/>
      <c r="U167" s="235">
        <f t="shared" si="3"/>
        <v>0</v>
      </c>
    </row>
    <row r="168" spans="1:21" s="16" customFormat="1" ht="18" customHeight="1">
      <c r="A168" s="344"/>
      <c r="B168" s="345"/>
      <c r="C168" s="284"/>
      <c r="D168" s="285"/>
      <c r="E168" s="285"/>
      <c r="F168" s="285"/>
      <c r="G168" s="312"/>
      <c r="H168" s="312"/>
      <c r="I168" s="312"/>
      <c r="J168" s="312"/>
      <c r="K168" s="316"/>
      <c r="L168" s="22" t="s">
        <v>54</v>
      </c>
      <c r="M168" s="22" t="s">
        <v>22</v>
      </c>
      <c r="N168" s="23">
        <v>75700</v>
      </c>
      <c r="O168" s="21">
        <v>10222</v>
      </c>
      <c r="P168" s="119"/>
      <c r="Q168" s="157"/>
      <c r="R168" s="212"/>
      <c r="S168" s="229"/>
      <c r="T168" s="229"/>
      <c r="U168" s="235">
        <f t="shared" si="3"/>
        <v>0</v>
      </c>
    </row>
    <row r="169" spans="1:21" s="16" customFormat="1" ht="18.75" customHeight="1">
      <c r="A169" s="344"/>
      <c r="B169" s="345"/>
      <c r="C169" s="269" t="s">
        <v>50</v>
      </c>
      <c r="D169" s="270"/>
      <c r="E169" s="270"/>
      <c r="F169" s="271"/>
      <c r="G169" s="111"/>
      <c r="H169" s="111"/>
      <c r="I169" s="111"/>
      <c r="J169" s="111"/>
      <c r="K169" s="22" t="s">
        <v>16</v>
      </c>
      <c r="L169" s="51" t="s">
        <v>54</v>
      </c>
      <c r="M169" s="22" t="s">
        <v>22</v>
      </c>
      <c r="N169" s="23">
        <v>72100</v>
      </c>
      <c r="O169" s="21">
        <v>20000</v>
      </c>
      <c r="P169" s="119"/>
      <c r="Q169" s="157"/>
      <c r="R169" s="212"/>
      <c r="S169" s="229"/>
      <c r="T169" s="229"/>
      <c r="U169" s="235">
        <f t="shared" si="3"/>
        <v>0</v>
      </c>
    </row>
    <row r="170" spans="1:21" s="16" customFormat="1" ht="17.25" customHeight="1">
      <c r="A170" s="344"/>
      <c r="B170" s="345"/>
      <c r="C170" s="295"/>
      <c r="D170" s="296"/>
      <c r="E170" s="296"/>
      <c r="F170" s="297"/>
      <c r="G170" s="199"/>
      <c r="H170" s="199"/>
      <c r="I170" s="199"/>
      <c r="J170" s="199"/>
      <c r="K170" s="74" t="s">
        <v>16</v>
      </c>
      <c r="L170" s="197" t="s">
        <v>54</v>
      </c>
      <c r="M170" s="197" t="s">
        <v>22</v>
      </c>
      <c r="N170" s="23">
        <v>74220</v>
      </c>
      <c r="O170" s="198">
        <v>3000</v>
      </c>
      <c r="P170" s="119"/>
      <c r="Q170" s="157"/>
      <c r="R170" s="212"/>
      <c r="S170" s="229"/>
      <c r="T170" s="229"/>
      <c r="U170" s="235">
        <f t="shared" si="3"/>
        <v>0</v>
      </c>
    </row>
    <row r="171" spans="1:21" s="16" customFormat="1" ht="24" customHeight="1">
      <c r="A171" s="344"/>
      <c r="B171" s="345"/>
      <c r="C171" s="272"/>
      <c r="D171" s="273"/>
      <c r="E171" s="273"/>
      <c r="F171" s="274"/>
      <c r="G171" s="200"/>
      <c r="H171" s="200"/>
      <c r="I171" s="200"/>
      <c r="J171" s="200"/>
      <c r="K171" s="6" t="s">
        <v>16</v>
      </c>
      <c r="L171" s="7" t="s">
        <v>54</v>
      </c>
      <c r="M171" s="7" t="s">
        <v>22</v>
      </c>
      <c r="N171" s="6">
        <v>71600</v>
      </c>
      <c r="O171" s="191">
        <v>5000</v>
      </c>
      <c r="P171" s="119"/>
      <c r="Q171" s="157"/>
      <c r="R171" s="212"/>
      <c r="S171" s="229"/>
      <c r="T171" s="229"/>
      <c r="U171" s="235">
        <f t="shared" si="3"/>
        <v>0</v>
      </c>
    </row>
    <row r="172" spans="1:21" s="16" customFormat="1" ht="21" customHeight="1">
      <c r="A172" s="344"/>
      <c r="B172" s="345"/>
      <c r="C172" s="85" t="s">
        <v>40</v>
      </c>
      <c r="D172" s="86"/>
      <c r="E172" s="86"/>
      <c r="F172" s="86"/>
      <c r="G172" s="82"/>
      <c r="H172" s="83"/>
      <c r="I172" s="83"/>
      <c r="J172" s="84"/>
      <c r="K172" s="50" t="s">
        <v>16</v>
      </c>
      <c r="L172" s="51" t="s">
        <v>54</v>
      </c>
      <c r="M172" s="22" t="s">
        <v>22</v>
      </c>
      <c r="N172" s="23">
        <v>75100</v>
      </c>
      <c r="O172" s="194">
        <f>SUM(O153:O171)*0.07</f>
        <v>12674.522</v>
      </c>
      <c r="P172" s="119"/>
      <c r="Q172" s="119"/>
      <c r="R172" s="214"/>
      <c r="S172" s="194">
        <f>SUM(S153:S171)*0.07</f>
        <v>0</v>
      </c>
      <c r="T172" s="194">
        <f>SUM(T153:T171)*0.07</f>
        <v>0</v>
      </c>
      <c r="U172" s="235">
        <f t="shared" si="3"/>
        <v>0</v>
      </c>
    </row>
    <row r="173" spans="1:21" s="16" customFormat="1" ht="18" customHeight="1">
      <c r="A173" s="344"/>
      <c r="B173" s="345"/>
      <c r="C173" s="322" t="s">
        <v>38</v>
      </c>
      <c r="D173" s="323"/>
      <c r="E173" s="323"/>
      <c r="F173" s="323"/>
      <c r="G173" s="323"/>
      <c r="H173" s="323"/>
      <c r="I173" s="323"/>
      <c r="J173" s="323"/>
      <c r="K173" s="323"/>
      <c r="L173" s="323"/>
      <c r="M173" s="323"/>
      <c r="N173" s="324"/>
      <c r="O173" s="101">
        <f>SUM(O153:O172)</f>
        <v>193739.122</v>
      </c>
      <c r="P173" s="101"/>
      <c r="Q173" s="101"/>
      <c r="R173" s="213"/>
      <c r="S173" s="101">
        <f>SUM(S153:S172)</f>
        <v>0</v>
      </c>
      <c r="T173" s="101">
        <f>SUM(T153:T172)</f>
        <v>0</v>
      </c>
      <c r="U173" s="235">
        <f t="shared" si="3"/>
        <v>0</v>
      </c>
    </row>
    <row r="174" spans="1:21" s="16" customFormat="1" ht="28.5" customHeight="1">
      <c r="A174" s="344"/>
      <c r="B174" s="345"/>
      <c r="C174" s="287" t="s">
        <v>84</v>
      </c>
      <c r="D174" s="288"/>
      <c r="E174" s="288"/>
      <c r="F174" s="288"/>
      <c r="G174" s="288"/>
      <c r="H174" s="288"/>
      <c r="I174" s="288"/>
      <c r="J174" s="288"/>
      <c r="K174" s="288"/>
      <c r="L174" s="288"/>
      <c r="M174" s="288"/>
      <c r="N174" s="288"/>
      <c r="O174" s="288"/>
      <c r="P174" s="57"/>
      <c r="S174" s="229"/>
      <c r="T174" s="229"/>
      <c r="U174" s="235">
        <f t="shared" si="3"/>
        <v>0</v>
      </c>
    </row>
    <row r="175" spans="1:21" s="16" customFormat="1" ht="27.75" customHeight="1">
      <c r="A175" s="344"/>
      <c r="B175" s="345"/>
      <c r="C175" s="331" t="s">
        <v>151</v>
      </c>
      <c r="D175" s="332"/>
      <c r="E175" s="332"/>
      <c r="F175" s="333"/>
      <c r="G175" s="60"/>
      <c r="H175" s="60"/>
      <c r="I175" s="60"/>
      <c r="J175" s="60"/>
      <c r="K175" s="74" t="s">
        <v>16</v>
      </c>
      <c r="L175" s="51" t="s">
        <v>54</v>
      </c>
      <c r="M175" s="22" t="s">
        <v>22</v>
      </c>
      <c r="N175" s="22" t="s">
        <v>64</v>
      </c>
      <c r="O175" s="21">
        <f>24*2*206*0.901</f>
        <v>8909.088</v>
      </c>
      <c r="P175" s="119"/>
      <c r="Q175" s="156"/>
      <c r="R175" s="212"/>
      <c r="S175" s="229"/>
      <c r="T175" s="229"/>
      <c r="U175" s="235">
        <f t="shared" si="3"/>
        <v>0</v>
      </c>
    </row>
    <row r="176" spans="1:24" s="16" customFormat="1" ht="14.25" customHeight="1">
      <c r="A176" s="344"/>
      <c r="B176" s="345"/>
      <c r="C176" s="281" t="s">
        <v>133</v>
      </c>
      <c r="D176" s="282"/>
      <c r="E176" s="282"/>
      <c r="F176" s="283"/>
      <c r="G176" s="311"/>
      <c r="H176" s="311"/>
      <c r="I176" s="311"/>
      <c r="J176" s="311"/>
      <c r="K176" s="315" t="s">
        <v>95</v>
      </c>
      <c r="L176" s="93" t="s">
        <v>54</v>
      </c>
      <c r="M176" s="93" t="s">
        <v>22</v>
      </c>
      <c r="N176" s="74" t="s">
        <v>24</v>
      </c>
      <c r="O176" s="21">
        <v>10000</v>
      </c>
      <c r="P176" s="119"/>
      <c r="Q176" s="156"/>
      <c r="R176" s="212"/>
      <c r="S176" s="229"/>
      <c r="T176" s="229"/>
      <c r="U176" s="235">
        <f t="shared" si="3"/>
        <v>0</v>
      </c>
      <c r="X176" s="149"/>
    </row>
    <row r="177" spans="1:21" s="16" customFormat="1" ht="13.5" customHeight="1">
      <c r="A177" s="344"/>
      <c r="B177" s="345"/>
      <c r="C177" s="284"/>
      <c r="D177" s="285"/>
      <c r="E177" s="285"/>
      <c r="F177" s="286"/>
      <c r="G177" s="312"/>
      <c r="H177" s="312"/>
      <c r="I177" s="312"/>
      <c r="J177" s="312"/>
      <c r="K177" s="316"/>
      <c r="L177" s="93" t="s">
        <v>54</v>
      </c>
      <c r="M177" s="93" t="s">
        <v>22</v>
      </c>
      <c r="N177" s="74" t="s">
        <v>64</v>
      </c>
      <c r="O177" s="21">
        <v>10335.18</v>
      </c>
      <c r="P177" s="119"/>
      <c r="Q177" s="156"/>
      <c r="R177" s="212"/>
      <c r="S177" s="229"/>
      <c r="T177" s="229"/>
      <c r="U177" s="235">
        <f t="shared" si="3"/>
        <v>0</v>
      </c>
    </row>
    <row r="178" spans="1:24" s="16" customFormat="1" ht="27.75" customHeight="1">
      <c r="A178" s="344"/>
      <c r="B178" s="345"/>
      <c r="C178" s="325" t="s">
        <v>136</v>
      </c>
      <c r="D178" s="326"/>
      <c r="E178" s="326"/>
      <c r="F178" s="327"/>
      <c r="G178" s="122"/>
      <c r="H178" s="122"/>
      <c r="I178" s="122"/>
      <c r="J178" s="122"/>
      <c r="K178" s="74" t="s">
        <v>16</v>
      </c>
      <c r="L178" s="141" t="s">
        <v>54</v>
      </c>
      <c r="M178" s="74" t="s">
        <v>22</v>
      </c>
      <c r="N178" s="74" t="s">
        <v>94</v>
      </c>
      <c r="O178" s="198">
        <f>'[1]V-A Budget of the Action'!$T$66</f>
        <v>64917.26</v>
      </c>
      <c r="P178" s="130"/>
      <c r="Q178" s="156"/>
      <c r="R178" s="212"/>
      <c r="S178" s="229"/>
      <c r="T178" s="229">
        <v>20000</v>
      </c>
      <c r="U178" s="235">
        <f t="shared" si="3"/>
        <v>20000</v>
      </c>
      <c r="X178" s="149"/>
    </row>
    <row r="179" spans="1:24" s="16" customFormat="1" ht="27.75" customHeight="1">
      <c r="A179" s="344"/>
      <c r="B179" s="345"/>
      <c r="C179" s="351" t="s">
        <v>137</v>
      </c>
      <c r="D179" s="352"/>
      <c r="E179" s="352"/>
      <c r="F179" s="353"/>
      <c r="G179" s="189"/>
      <c r="H179" s="189"/>
      <c r="I179" s="189"/>
      <c r="J179" s="189"/>
      <c r="K179" s="7" t="s">
        <v>16</v>
      </c>
      <c r="L179" s="8" t="s">
        <v>54</v>
      </c>
      <c r="M179" s="7" t="s">
        <v>22</v>
      </c>
      <c r="N179" s="7" t="s">
        <v>94</v>
      </c>
      <c r="O179" s="198">
        <v>515870</v>
      </c>
      <c r="P179" s="186"/>
      <c r="Q179" s="156"/>
      <c r="R179" s="212"/>
      <c r="S179" s="229"/>
      <c r="T179" s="229"/>
      <c r="U179" s="235">
        <f t="shared" si="3"/>
        <v>0</v>
      </c>
      <c r="X179" s="149"/>
    </row>
    <row r="180" spans="1:24" s="16" customFormat="1" ht="15" customHeight="1">
      <c r="A180" s="344"/>
      <c r="B180" s="345"/>
      <c r="C180" s="269" t="s">
        <v>134</v>
      </c>
      <c r="D180" s="270"/>
      <c r="E180" s="270"/>
      <c r="F180" s="271"/>
      <c r="G180" s="360"/>
      <c r="H180" s="360"/>
      <c r="I180" s="360"/>
      <c r="J180" s="360"/>
      <c r="K180" s="315" t="s">
        <v>16</v>
      </c>
      <c r="L180" s="315" t="s">
        <v>54</v>
      </c>
      <c r="M180" s="315" t="s">
        <v>22</v>
      </c>
      <c r="N180" s="143">
        <v>71600</v>
      </c>
      <c r="O180" s="196">
        <v>1000</v>
      </c>
      <c r="P180" s="152"/>
      <c r="Q180" s="156"/>
      <c r="R180" s="212"/>
      <c r="S180" s="229"/>
      <c r="T180" s="229"/>
      <c r="U180" s="235">
        <f t="shared" si="3"/>
        <v>0</v>
      </c>
      <c r="X180" s="149"/>
    </row>
    <row r="181" spans="1:24" s="16" customFormat="1" ht="15" customHeight="1">
      <c r="A181" s="344"/>
      <c r="B181" s="345"/>
      <c r="C181" s="272"/>
      <c r="D181" s="273"/>
      <c r="E181" s="273"/>
      <c r="F181" s="274"/>
      <c r="G181" s="361"/>
      <c r="H181" s="361"/>
      <c r="I181" s="361"/>
      <c r="J181" s="361"/>
      <c r="K181" s="316"/>
      <c r="L181" s="313"/>
      <c r="M181" s="313"/>
      <c r="N181" s="74" t="s">
        <v>94</v>
      </c>
      <c r="O181" s="198">
        <f>'[1]V-A Budget of the Action'!$T$67</f>
        <v>0</v>
      </c>
      <c r="P181" s="130"/>
      <c r="Q181" s="157"/>
      <c r="R181" s="212"/>
      <c r="S181" s="229"/>
      <c r="T181" s="229"/>
      <c r="U181" s="235">
        <f t="shared" si="3"/>
        <v>0</v>
      </c>
      <c r="X181" s="149"/>
    </row>
    <row r="182" spans="1:24" s="16" customFormat="1" ht="19.5" customHeight="1">
      <c r="A182" s="344"/>
      <c r="B182" s="345"/>
      <c r="C182" s="269" t="s">
        <v>135</v>
      </c>
      <c r="D182" s="270"/>
      <c r="E182" s="270"/>
      <c r="F182" s="271"/>
      <c r="G182" s="203"/>
      <c r="H182" s="203"/>
      <c r="I182" s="203"/>
      <c r="J182" s="203"/>
      <c r="K182" s="201" t="s">
        <v>16</v>
      </c>
      <c r="L182" s="115" t="s">
        <v>54</v>
      </c>
      <c r="M182" s="74" t="s">
        <v>22</v>
      </c>
      <c r="N182" s="74" t="s">
        <v>41</v>
      </c>
      <c r="O182" s="21">
        <v>3000</v>
      </c>
      <c r="P182" s="119"/>
      <c r="Q182" s="156"/>
      <c r="R182" s="212"/>
      <c r="S182" s="229"/>
      <c r="T182" s="229"/>
      <c r="U182" s="235">
        <f t="shared" si="3"/>
        <v>0</v>
      </c>
      <c r="X182" s="149"/>
    </row>
    <row r="183" spans="1:24" s="16" customFormat="1" ht="15.75" customHeight="1">
      <c r="A183" s="344"/>
      <c r="B183" s="345"/>
      <c r="C183" s="272"/>
      <c r="D183" s="273"/>
      <c r="E183" s="273"/>
      <c r="F183" s="274"/>
      <c r="G183" s="203"/>
      <c r="H183" s="203"/>
      <c r="I183" s="203"/>
      <c r="J183" s="203"/>
      <c r="K183" s="201" t="s">
        <v>16</v>
      </c>
      <c r="L183" s="201" t="s">
        <v>54</v>
      </c>
      <c r="M183" s="74" t="s">
        <v>22</v>
      </c>
      <c r="N183" s="74" t="s">
        <v>41</v>
      </c>
      <c r="O183" s="198">
        <v>5290.59</v>
      </c>
      <c r="P183" s="119"/>
      <c r="Q183" s="156"/>
      <c r="R183" s="212"/>
      <c r="S183" s="229"/>
      <c r="T183" s="229"/>
      <c r="U183" s="235">
        <f t="shared" si="3"/>
        <v>0</v>
      </c>
      <c r="X183" s="149"/>
    </row>
    <row r="184" spans="1:24" s="16" customFormat="1" ht="14.25" customHeight="1">
      <c r="A184" s="344"/>
      <c r="B184" s="345"/>
      <c r="C184" s="254" t="s">
        <v>140</v>
      </c>
      <c r="D184" s="255"/>
      <c r="E184" s="255"/>
      <c r="F184" s="256"/>
      <c r="G184" s="200"/>
      <c r="H184" s="200"/>
      <c r="I184" s="200"/>
      <c r="J184" s="200"/>
      <c r="K184" s="6" t="s">
        <v>16</v>
      </c>
      <c r="L184" s="7" t="s">
        <v>54</v>
      </c>
      <c r="M184" s="7" t="s">
        <v>22</v>
      </c>
      <c r="N184" s="6">
        <v>71600</v>
      </c>
      <c r="O184" s="191">
        <v>9000</v>
      </c>
      <c r="P184" s="119"/>
      <c r="Q184" s="156"/>
      <c r="R184" s="212"/>
      <c r="S184" s="229"/>
      <c r="T184" s="229"/>
      <c r="U184" s="235">
        <f t="shared" si="3"/>
        <v>0</v>
      </c>
      <c r="X184" s="149"/>
    </row>
    <row r="185" spans="1:24" s="16" customFormat="1" ht="15.75" customHeight="1">
      <c r="A185" s="344"/>
      <c r="B185" s="345"/>
      <c r="C185" s="393" t="s">
        <v>40</v>
      </c>
      <c r="D185" s="393"/>
      <c r="E185" s="393"/>
      <c r="F185" s="393"/>
      <c r="G185" s="317"/>
      <c r="H185" s="318"/>
      <c r="I185" s="318"/>
      <c r="J185" s="319"/>
      <c r="K185" s="50" t="s">
        <v>16</v>
      </c>
      <c r="L185" s="51" t="s">
        <v>54</v>
      </c>
      <c r="M185" s="22" t="s">
        <v>22</v>
      </c>
      <c r="N185" s="23">
        <v>75100</v>
      </c>
      <c r="O185" s="194">
        <f>SUM(O175:O184)*0.07</f>
        <v>43982.54826</v>
      </c>
      <c r="P185" s="119"/>
      <c r="Q185" s="119"/>
      <c r="R185" s="214"/>
      <c r="S185" s="194">
        <f>SUM(S175:S184)*0.07</f>
        <v>0</v>
      </c>
      <c r="T185" s="229">
        <f>SUM(T175:T184)*7/100</f>
        <v>1400</v>
      </c>
      <c r="U185" s="235">
        <f t="shared" si="3"/>
        <v>1400</v>
      </c>
      <c r="W185" s="245"/>
      <c r="X185" s="246"/>
    </row>
    <row r="186" spans="1:21" s="16" customFormat="1" ht="15" customHeight="1">
      <c r="A186" s="344"/>
      <c r="B186" s="345"/>
      <c r="C186" s="322" t="s">
        <v>38</v>
      </c>
      <c r="D186" s="323"/>
      <c r="E186" s="323"/>
      <c r="F186" s="323"/>
      <c r="G186" s="323"/>
      <c r="H186" s="323"/>
      <c r="I186" s="323"/>
      <c r="J186" s="323"/>
      <c r="K186" s="323"/>
      <c r="L186" s="323"/>
      <c r="M186" s="323"/>
      <c r="N186" s="324"/>
      <c r="O186" s="101">
        <f>SUM(O175:O185)</f>
        <v>672304.66626</v>
      </c>
      <c r="P186" s="101"/>
      <c r="Q186" s="101"/>
      <c r="R186" s="213"/>
      <c r="S186" s="101">
        <f>SUM(S175:S185)</f>
        <v>0</v>
      </c>
      <c r="T186" s="229">
        <f>SUM(T175:T185)</f>
        <v>21400</v>
      </c>
      <c r="U186" s="235">
        <f t="shared" si="3"/>
        <v>21400</v>
      </c>
    </row>
    <row r="187" spans="1:21" s="16" customFormat="1" ht="18" customHeight="1">
      <c r="A187" s="344"/>
      <c r="B187" s="345"/>
      <c r="C187" s="466" t="s">
        <v>90</v>
      </c>
      <c r="D187" s="467"/>
      <c r="E187" s="467"/>
      <c r="F187" s="467"/>
      <c r="G187" s="467"/>
      <c r="H187" s="467"/>
      <c r="I187" s="467"/>
      <c r="J187" s="467"/>
      <c r="K187" s="467"/>
      <c r="L187" s="467"/>
      <c r="M187" s="467"/>
      <c r="N187" s="467"/>
      <c r="O187" s="467"/>
      <c r="P187" s="175"/>
      <c r="S187" s="229"/>
      <c r="T187" s="229"/>
      <c r="U187" s="235">
        <f t="shared" si="3"/>
        <v>0</v>
      </c>
    </row>
    <row r="188" spans="1:24" s="16" customFormat="1" ht="21" customHeight="1">
      <c r="A188" s="371"/>
      <c r="B188" s="400"/>
      <c r="C188" s="401" t="s">
        <v>66</v>
      </c>
      <c r="D188" s="402"/>
      <c r="E188" s="368" t="s">
        <v>68</v>
      </c>
      <c r="F188" s="369"/>
      <c r="G188" s="311"/>
      <c r="H188" s="311"/>
      <c r="I188" s="311"/>
      <c r="J188" s="311"/>
      <c r="K188" s="22" t="s">
        <v>16</v>
      </c>
      <c r="L188" s="51" t="s">
        <v>54</v>
      </c>
      <c r="M188" s="22" t="s">
        <v>22</v>
      </c>
      <c r="N188" s="52">
        <v>61300</v>
      </c>
      <c r="O188" s="481">
        <v>168692.42</v>
      </c>
      <c r="P188" s="53"/>
      <c r="Q188" s="157"/>
      <c r="R188" s="212"/>
      <c r="S188" s="229"/>
      <c r="T188" s="229"/>
      <c r="U188" s="235">
        <f t="shared" si="3"/>
        <v>0</v>
      </c>
      <c r="X188" s="149"/>
    </row>
    <row r="189" spans="1:24" s="16" customFormat="1" ht="16.5" customHeight="1">
      <c r="A189" s="371"/>
      <c r="B189" s="400"/>
      <c r="C189" s="376"/>
      <c r="D189" s="377"/>
      <c r="E189" s="344"/>
      <c r="F189" s="370"/>
      <c r="G189" s="314"/>
      <c r="H189" s="314"/>
      <c r="I189" s="314"/>
      <c r="J189" s="314"/>
      <c r="K189" s="22" t="s">
        <v>16</v>
      </c>
      <c r="L189" s="51" t="s">
        <v>54</v>
      </c>
      <c r="M189" s="22" t="s">
        <v>22</v>
      </c>
      <c r="N189" s="23">
        <v>62300</v>
      </c>
      <c r="O189" s="482"/>
      <c r="P189" s="53"/>
      <c r="Q189" s="157"/>
      <c r="R189" s="212"/>
      <c r="S189" s="229"/>
      <c r="T189" s="229"/>
      <c r="U189" s="235">
        <f t="shared" si="3"/>
        <v>0</v>
      </c>
      <c r="X189" s="149"/>
    </row>
    <row r="190" spans="1:24" s="16" customFormat="1" ht="12.75" customHeight="1">
      <c r="A190" s="371"/>
      <c r="B190" s="400"/>
      <c r="C190" s="87"/>
      <c r="D190" s="80"/>
      <c r="E190" s="87"/>
      <c r="F190" s="80"/>
      <c r="G190" s="314"/>
      <c r="H190" s="314"/>
      <c r="I190" s="314"/>
      <c r="J190" s="314"/>
      <c r="K190" s="22" t="s">
        <v>16</v>
      </c>
      <c r="L190" s="51" t="s">
        <v>54</v>
      </c>
      <c r="M190" s="22" t="s">
        <v>22</v>
      </c>
      <c r="N190" s="23">
        <v>63300</v>
      </c>
      <c r="O190" s="482"/>
      <c r="P190" s="53"/>
      <c r="Q190" s="157"/>
      <c r="R190" s="212"/>
      <c r="S190" s="229"/>
      <c r="T190" s="229"/>
      <c r="U190" s="235">
        <f t="shared" si="3"/>
        <v>0</v>
      </c>
      <c r="X190" s="149"/>
    </row>
    <row r="191" spans="1:24" s="16" customFormat="1" ht="12.75" customHeight="1">
      <c r="A191" s="373"/>
      <c r="B191" s="374"/>
      <c r="C191" s="376" t="s">
        <v>52</v>
      </c>
      <c r="D191" s="377"/>
      <c r="E191" s="80"/>
      <c r="F191" s="80"/>
      <c r="G191" s="314"/>
      <c r="H191" s="314"/>
      <c r="I191" s="314"/>
      <c r="J191" s="314"/>
      <c r="K191" s="22" t="s">
        <v>16</v>
      </c>
      <c r="L191" s="51" t="s">
        <v>54</v>
      </c>
      <c r="M191" s="22" t="s">
        <v>22</v>
      </c>
      <c r="N191" s="23">
        <v>63500</v>
      </c>
      <c r="O191" s="482"/>
      <c r="P191" s="53"/>
      <c r="Q191" s="157"/>
      <c r="R191" s="212"/>
      <c r="S191" s="229"/>
      <c r="T191" s="229"/>
      <c r="U191" s="235">
        <f t="shared" si="3"/>
        <v>0</v>
      </c>
      <c r="X191" s="149"/>
    </row>
    <row r="192" spans="1:24" s="16" customFormat="1" ht="15" customHeight="1">
      <c r="A192" s="63"/>
      <c r="B192" s="56"/>
      <c r="C192" s="376"/>
      <c r="D192" s="377"/>
      <c r="E192" s="81"/>
      <c r="F192" s="81"/>
      <c r="G192" s="314"/>
      <c r="H192" s="314"/>
      <c r="I192" s="314"/>
      <c r="J192" s="314"/>
      <c r="K192" s="22" t="s">
        <v>16</v>
      </c>
      <c r="L192" s="51" t="s">
        <v>54</v>
      </c>
      <c r="M192" s="22" t="s">
        <v>22</v>
      </c>
      <c r="N192" s="23">
        <v>65100</v>
      </c>
      <c r="O192" s="483"/>
      <c r="P192" s="53"/>
      <c r="Q192" s="157"/>
      <c r="R192" s="212"/>
      <c r="S192" s="229"/>
      <c r="T192" s="229"/>
      <c r="U192" s="235">
        <f t="shared" si="3"/>
        <v>0</v>
      </c>
      <c r="X192" s="149"/>
    </row>
    <row r="193" spans="1:24" s="16" customFormat="1" ht="21" customHeight="1">
      <c r="A193" s="371"/>
      <c r="B193" s="372"/>
      <c r="C193" s="63"/>
      <c r="D193" s="88"/>
      <c r="E193" s="378" t="s">
        <v>17</v>
      </c>
      <c r="F193" s="378"/>
      <c r="G193" s="314"/>
      <c r="H193" s="314"/>
      <c r="I193" s="314"/>
      <c r="J193" s="314"/>
      <c r="K193" s="22" t="s">
        <v>16</v>
      </c>
      <c r="L193" s="51" t="s">
        <v>54</v>
      </c>
      <c r="M193" s="22" t="s">
        <v>22</v>
      </c>
      <c r="N193" s="23">
        <v>71400</v>
      </c>
      <c r="O193" s="244">
        <v>1631988.51</v>
      </c>
      <c r="P193" s="53"/>
      <c r="Q193" s="157"/>
      <c r="R193" s="212"/>
      <c r="S193" s="229"/>
      <c r="T193" s="229"/>
      <c r="U193" s="235">
        <f t="shared" si="3"/>
        <v>0</v>
      </c>
      <c r="X193" s="149"/>
    </row>
    <row r="194" spans="1:24" s="16" customFormat="1" ht="21" customHeight="1">
      <c r="A194" s="371"/>
      <c r="B194" s="372"/>
      <c r="C194" s="63"/>
      <c r="D194" s="88"/>
      <c r="E194" s="379" t="s">
        <v>155</v>
      </c>
      <c r="F194" s="380"/>
      <c r="G194" s="314"/>
      <c r="H194" s="314"/>
      <c r="I194" s="314"/>
      <c r="J194" s="314"/>
      <c r="K194" s="74" t="s">
        <v>16</v>
      </c>
      <c r="L194" s="201" t="s">
        <v>54</v>
      </c>
      <c r="M194" s="74" t="s">
        <v>22</v>
      </c>
      <c r="N194" s="23">
        <v>72100</v>
      </c>
      <c r="O194" s="53">
        <f>60000/0.901</f>
        <v>66592.67480577137</v>
      </c>
      <c r="P194" s="53"/>
      <c r="Q194" s="157"/>
      <c r="R194" s="212"/>
      <c r="S194" s="229"/>
      <c r="T194" s="229"/>
      <c r="U194" s="235">
        <f t="shared" si="3"/>
        <v>0</v>
      </c>
      <c r="X194" s="149"/>
    </row>
    <row r="195" spans="1:24" s="16" customFormat="1" ht="21" customHeight="1">
      <c r="A195" s="371"/>
      <c r="B195" s="372"/>
      <c r="C195" s="63"/>
      <c r="D195" s="88"/>
      <c r="E195" s="390" t="s">
        <v>35</v>
      </c>
      <c r="F195" s="390"/>
      <c r="G195" s="314"/>
      <c r="H195" s="314"/>
      <c r="I195" s="314"/>
      <c r="J195" s="314"/>
      <c r="K195" s="22" t="s">
        <v>33</v>
      </c>
      <c r="L195" s="51" t="s">
        <v>54</v>
      </c>
      <c r="M195" s="22" t="s">
        <v>22</v>
      </c>
      <c r="N195" s="23">
        <v>71300</v>
      </c>
      <c r="O195" s="53">
        <f>'[1]V-A Budget of the Action'!$T$52</f>
        <v>9089.575</v>
      </c>
      <c r="P195" s="53"/>
      <c r="Q195" s="157"/>
      <c r="R195" s="212"/>
      <c r="S195" s="229"/>
      <c r="T195" s="229"/>
      <c r="U195" s="235">
        <f t="shared" si="3"/>
        <v>0</v>
      </c>
      <c r="X195" s="149"/>
    </row>
    <row r="196" spans="1:24" s="16" customFormat="1" ht="21" customHeight="1">
      <c r="A196" s="114"/>
      <c r="B196" s="117"/>
      <c r="C196" s="376" t="s">
        <v>51</v>
      </c>
      <c r="D196" s="377"/>
      <c r="E196" s="366" t="s">
        <v>18</v>
      </c>
      <c r="F196" s="367"/>
      <c r="G196" s="314"/>
      <c r="H196" s="314"/>
      <c r="I196" s="314"/>
      <c r="J196" s="314"/>
      <c r="K196" s="22" t="s">
        <v>16</v>
      </c>
      <c r="L196" s="51" t="s">
        <v>54</v>
      </c>
      <c r="M196" s="22" t="s">
        <v>22</v>
      </c>
      <c r="N196" s="23">
        <v>72100</v>
      </c>
      <c r="O196" s="96">
        <f>'[1]V-A Budget of the Action'!$U$46</f>
        <v>81700.88446170921</v>
      </c>
      <c r="P196" s="53"/>
      <c r="Q196" s="157"/>
      <c r="R196" s="212"/>
      <c r="S196" s="229"/>
      <c r="T196" s="229"/>
      <c r="U196" s="235">
        <f t="shared" si="3"/>
        <v>0</v>
      </c>
      <c r="X196" s="149"/>
    </row>
    <row r="197" spans="1:24" s="16" customFormat="1" ht="15.75" customHeight="1">
      <c r="A197" s="373"/>
      <c r="B197" s="374"/>
      <c r="C197" s="376"/>
      <c r="D197" s="377"/>
      <c r="E197" s="375" t="s">
        <v>67</v>
      </c>
      <c r="F197" s="375"/>
      <c r="G197" s="314"/>
      <c r="H197" s="314"/>
      <c r="I197" s="314"/>
      <c r="J197" s="314"/>
      <c r="K197" s="7" t="s">
        <v>16</v>
      </c>
      <c r="L197" s="8" t="s">
        <v>54</v>
      </c>
      <c r="M197" s="7" t="s">
        <v>22</v>
      </c>
      <c r="N197" s="6">
        <v>74100</v>
      </c>
      <c r="O197" s="96">
        <v>0</v>
      </c>
      <c r="P197" s="96"/>
      <c r="Q197" s="157"/>
      <c r="R197" s="212"/>
      <c r="S197" s="229"/>
      <c r="T197" s="229"/>
      <c r="U197" s="235">
        <f t="shared" si="3"/>
        <v>0</v>
      </c>
      <c r="X197" s="149"/>
    </row>
    <row r="198" spans="1:24" s="16" customFormat="1" ht="20.25" customHeight="1">
      <c r="A198" s="63"/>
      <c r="B198" s="56"/>
      <c r="C198" s="376"/>
      <c r="D198" s="377"/>
      <c r="E198" s="367" t="s">
        <v>23</v>
      </c>
      <c r="F198" s="367"/>
      <c r="G198" s="314"/>
      <c r="H198" s="314"/>
      <c r="I198" s="314"/>
      <c r="J198" s="314"/>
      <c r="K198" s="22" t="s">
        <v>16</v>
      </c>
      <c r="L198" s="51" t="s">
        <v>54</v>
      </c>
      <c r="M198" s="22" t="s">
        <v>22</v>
      </c>
      <c r="N198" s="23">
        <v>72200</v>
      </c>
      <c r="O198" s="96">
        <f>'[1]V-A Budget of the Action'!$T$36+'[1]V-A Budget of the Action'!$T$38+'[1]V-A Budget of the Action'!$T$39</f>
        <v>43181.1979</v>
      </c>
      <c r="P198" s="53"/>
      <c r="Q198" s="157"/>
      <c r="R198" s="212"/>
      <c r="S198" s="229"/>
      <c r="T198" s="229"/>
      <c r="U198" s="235">
        <f t="shared" si="3"/>
        <v>0</v>
      </c>
      <c r="X198" s="149"/>
    </row>
    <row r="199" spans="1:24" s="16" customFormat="1" ht="11.25" customHeight="1">
      <c r="A199" s="63"/>
      <c r="B199" s="56"/>
      <c r="C199" s="376"/>
      <c r="D199" s="377"/>
      <c r="E199" s="367" t="s">
        <v>58</v>
      </c>
      <c r="F199" s="367"/>
      <c r="G199" s="314"/>
      <c r="H199" s="314"/>
      <c r="I199" s="314"/>
      <c r="J199" s="314"/>
      <c r="K199" s="22" t="s">
        <v>16</v>
      </c>
      <c r="L199" s="51" t="s">
        <v>54</v>
      </c>
      <c r="M199" s="22" t="s">
        <v>22</v>
      </c>
      <c r="N199" s="23">
        <v>72300</v>
      </c>
      <c r="O199" s="96">
        <v>50000</v>
      </c>
      <c r="P199" s="53"/>
      <c r="Q199" s="157"/>
      <c r="R199" s="212"/>
      <c r="S199" s="229"/>
      <c r="T199" s="229"/>
      <c r="U199" s="235">
        <f t="shared" si="3"/>
        <v>0</v>
      </c>
      <c r="X199" s="149"/>
    </row>
    <row r="200" spans="1:24" s="16" customFormat="1" ht="21.75" customHeight="1">
      <c r="A200" s="63"/>
      <c r="B200" s="56"/>
      <c r="C200" s="376"/>
      <c r="D200" s="377"/>
      <c r="E200" s="367" t="s">
        <v>96</v>
      </c>
      <c r="F200" s="367"/>
      <c r="G200" s="314"/>
      <c r="H200" s="314"/>
      <c r="I200" s="314"/>
      <c r="J200" s="314"/>
      <c r="K200" s="22" t="s">
        <v>16</v>
      </c>
      <c r="L200" s="51" t="s">
        <v>54</v>
      </c>
      <c r="M200" s="22" t="s">
        <v>22</v>
      </c>
      <c r="N200" s="23">
        <v>72400</v>
      </c>
      <c r="O200" s="96">
        <v>0</v>
      </c>
      <c r="P200" s="53"/>
      <c r="Q200" s="157"/>
      <c r="R200" s="212"/>
      <c r="S200" s="229"/>
      <c r="T200" s="229"/>
      <c r="U200" s="235">
        <f t="shared" si="3"/>
        <v>0</v>
      </c>
      <c r="X200" s="149"/>
    </row>
    <row r="201" spans="1:24" s="16" customFormat="1" ht="21" customHeight="1">
      <c r="A201" s="371"/>
      <c r="B201" s="372"/>
      <c r="C201" s="376"/>
      <c r="D201" s="377"/>
      <c r="E201" s="367" t="s">
        <v>19</v>
      </c>
      <c r="F201" s="367"/>
      <c r="G201" s="314"/>
      <c r="H201" s="314"/>
      <c r="I201" s="314"/>
      <c r="J201" s="314"/>
      <c r="K201" s="22" t="s">
        <v>16</v>
      </c>
      <c r="L201" s="51" t="s">
        <v>54</v>
      </c>
      <c r="M201" s="22" t="s">
        <v>22</v>
      </c>
      <c r="N201" s="23">
        <v>72500</v>
      </c>
      <c r="O201" s="96">
        <v>47732</v>
      </c>
      <c r="P201" s="53"/>
      <c r="Q201" s="157"/>
      <c r="R201" s="212"/>
      <c r="S201" s="229"/>
      <c r="T201" s="229"/>
      <c r="U201" s="235">
        <f t="shared" si="3"/>
        <v>0</v>
      </c>
      <c r="X201" s="149"/>
    </row>
    <row r="202" spans="1:24" s="16" customFormat="1" ht="20.25" customHeight="1">
      <c r="A202" s="63"/>
      <c r="B202" s="56"/>
      <c r="C202" s="87"/>
      <c r="D202" s="76"/>
      <c r="E202" s="366" t="s">
        <v>20</v>
      </c>
      <c r="F202" s="367"/>
      <c r="G202" s="314"/>
      <c r="H202" s="314"/>
      <c r="I202" s="314"/>
      <c r="J202" s="314"/>
      <c r="K202" s="22" t="s">
        <v>16</v>
      </c>
      <c r="L202" s="51" t="s">
        <v>54</v>
      </c>
      <c r="M202" s="22" t="s">
        <v>22</v>
      </c>
      <c r="N202" s="23">
        <v>73100</v>
      </c>
      <c r="O202" s="96">
        <f>'[1]V-A Budget of the Action'!$U$44</f>
        <v>272153.5312985571</v>
      </c>
      <c r="P202" s="53"/>
      <c r="Q202" s="157"/>
      <c r="R202" s="212"/>
      <c r="S202" s="229"/>
      <c r="T202" s="229"/>
      <c r="U202" s="235">
        <f t="shared" si="3"/>
        <v>0</v>
      </c>
      <c r="X202" s="149"/>
    </row>
    <row r="203" spans="1:24" s="16" customFormat="1" ht="21" customHeight="1">
      <c r="A203" s="63"/>
      <c r="B203" s="56"/>
      <c r="C203" s="63"/>
      <c r="D203" s="89"/>
      <c r="E203" s="247" t="s">
        <v>152</v>
      </c>
      <c r="F203" s="248"/>
      <c r="G203" s="314"/>
      <c r="H203" s="314"/>
      <c r="I203" s="314"/>
      <c r="J203" s="314"/>
      <c r="K203" s="74" t="s">
        <v>16</v>
      </c>
      <c r="L203" s="192" t="s">
        <v>54</v>
      </c>
      <c r="M203" s="74" t="s">
        <v>22</v>
      </c>
      <c r="N203" s="23">
        <v>73400</v>
      </c>
      <c r="O203" s="96">
        <f>112777.55</f>
        <v>112777.55</v>
      </c>
      <c r="P203" s="53"/>
      <c r="Q203" s="157"/>
      <c r="R203" s="212"/>
      <c r="S203" s="229"/>
      <c r="T203" s="229"/>
      <c r="U203" s="235">
        <f t="shared" si="3"/>
        <v>0</v>
      </c>
      <c r="W203" s="245"/>
      <c r="X203" s="246"/>
    </row>
    <row r="204" spans="1:24" s="16" customFormat="1" ht="21" customHeight="1">
      <c r="A204" s="63"/>
      <c r="B204" s="56"/>
      <c r="C204" s="63"/>
      <c r="D204" s="89"/>
      <c r="E204" s="249"/>
      <c r="F204" s="250"/>
      <c r="G204" s="314"/>
      <c r="H204" s="314"/>
      <c r="I204" s="314"/>
      <c r="J204" s="314"/>
      <c r="K204" s="74" t="s">
        <v>16</v>
      </c>
      <c r="L204" s="192" t="s">
        <v>54</v>
      </c>
      <c r="M204" s="74" t="s">
        <v>22</v>
      </c>
      <c r="N204" s="23">
        <v>73400</v>
      </c>
      <c r="O204" s="96">
        <f>'[1]V-A Budget of the Action'!$T$37</f>
        <v>4774.27</v>
      </c>
      <c r="P204" s="53"/>
      <c r="Q204" s="157"/>
      <c r="R204" s="212"/>
      <c r="S204" s="229"/>
      <c r="T204" s="229"/>
      <c r="U204" s="235">
        <f t="shared" si="3"/>
        <v>0</v>
      </c>
      <c r="W204" s="245"/>
      <c r="X204" s="246"/>
    </row>
    <row r="205" spans="1:21" s="16" customFormat="1" ht="17.25" customHeight="1">
      <c r="A205" s="63"/>
      <c r="B205" s="56"/>
      <c r="C205" s="87"/>
      <c r="D205" s="90"/>
      <c r="E205" s="391" t="s">
        <v>59</v>
      </c>
      <c r="F205" s="392"/>
      <c r="G205" s="314"/>
      <c r="H205" s="314"/>
      <c r="I205" s="314"/>
      <c r="J205" s="314"/>
      <c r="K205" s="22" t="s">
        <v>16</v>
      </c>
      <c r="L205" s="51" t="s">
        <v>54</v>
      </c>
      <c r="M205" s="22" t="s">
        <v>22</v>
      </c>
      <c r="N205" s="23">
        <v>74505</v>
      </c>
      <c r="O205" s="96">
        <f>'[1]V-A Budget of the Action'!$U$43</f>
        <v>21496.46287458379</v>
      </c>
      <c r="P205" s="53"/>
      <c r="Q205" s="157"/>
      <c r="R205" s="212"/>
      <c r="S205" s="229"/>
      <c r="T205" s="229"/>
      <c r="U205" s="235">
        <f t="shared" si="3"/>
        <v>0</v>
      </c>
    </row>
    <row r="206" spans="1:21" s="16" customFormat="1" ht="21" customHeight="1">
      <c r="A206" s="371"/>
      <c r="B206" s="372"/>
      <c r="C206" s="91"/>
      <c r="D206" s="88"/>
      <c r="E206" s="366" t="s">
        <v>34</v>
      </c>
      <c r="F206" s="367"/>
      <c r="G206" s="312"/>
      <c r="H206" s="312"/>
      <c r="I206" s="312"/>
      <c r="J206" s="312"/>
      <c r="K206" s="22" t="s">
        <v>16</v>
      </c>
      <c r="L206" s="51" t="s">
        <v>54</v>
      </c>
      <c r="M206" s="22" t="s">
        <v>22</v>
      </c>
      <c r="N206" s="23">
        <v>74525</v>
      </c>
      <c r="O206" s="96">
        <f>24*9*150+1*9*300</f>
        <v>35100</v>
      </c>
      <c r="P206" s="53"/>
      <c r="Q206" s="157"/>
      <c r="R206" s="212"/>
      <c r="S206" s="229"/>
      <c r="T206" s="229"/>
      <c r="U206" s="235">
        <f t="shared" si="3"/>
        <v>0</v>
      </c>
    </row>
    <row r="207" spans="1:21" s="16" customFormat="1" ht="13.5" customHeight="1">
      <c r="A207" s="63"/>
      <c r="B207" s="56"/>
      <c r="C207" s="393" t="s">
        <v>40</v>
      </c>
      <c r="D207" s="393"/>
      <c r="E207" s="393"/>
      <c r="F207" s="393"/>
      <c r="G207" s="82"/>
      <c r="H207" s="83"/>
      <c r="I207" s="83"/>
      <c r="J207" s="84"/>
      <c r="K207" s="50" t="s">
        <v>16</v>
      </c>
      <c r="L207" s="51" t="s">
        <v>54</v>
      </c>
      <c r="M207" s="22" t="s">
        <v>22</v>
      </c>
      <c r="N207" s="23">
        <v>75100</v>
      </c>
      <c r="O207" s="21">
        <f>SUM(O188:O206)*0.07</f>
        <v>178169.53534384354</v>
      </c>
      <c r="P207" s="119"/>
      <c r="Q207" s="119"/>
      <c r="R207" s="214"/>
      <c r="S207" s="21">
        <f>SUM(S188:S206)*0.07</f>
        <v>0</v>
      </c>
      <c r="T207" s="21">
        <f>SUM(T188:T206)*0.07</f>
        <v>0</v>
      </c>
      <c r="U207" s="235">
        <f t="shared" si="3"/>
        <v>0</v>
      </c>
    </row>
    <row r="208" spans="1:21" s="16" customFormat="1" ht="13.5">
      <c r="A208" s="63"/>
      <c r="B208" s="56"/>
      <c r="C208" s="322" t="s">
        <v>38</v>
      </c>
      <c r="D208" s="323"/>
      <c r="E208" s="323"/>
      <c r="F208" s="323"/>
      <c r="G208" s="323"/>
      <c r="H208" s="323"/>
      <c r="I208" s="323"/>
      <c r="J208" s="323"/>
      <c r="K208" s="323"/>
      <c r="L208" s="323"/>
      <c r="M208" s="323"/>
      <c r="N208" s="324"/>
      <c r="O208" s="97">
        <f>SUM(O188:O207)</f>
        <v>2723448.6116844653</v>
      </c>
      <c r="P208" s="97"/>
      <c r="Q208" s="97"/>
      <c r="R208" s="220"/>
      <c r="S208" s="97">
        <f>SUM(S188:S207)</f>
        <v>0</v>
      </c>
      <c r="T208" s="97">
        <f>SUM(T188:T207)</f>
        <v>0</v>
      </c>
      <c r="U208" s="235">
        <f aca="true" t="shared" si="4" ref="U208:U214">S208+T208</f>
        <v>0</v>
      </c>
    </row>
    <row r="209" spans="1:21" s="16" customFormat="1" ht="14.25" customHeight="1">
      <c r="A209" s="295"/>
      <c r="B209" s="297"/>
      <c r="C209" s="341" t="s">
        <v>108</v>
      </c>
      <c r="D209" s="342"/>
      <c r="E209" s="342"/>
      <c r="F209" s="342"/>
      <c r="G209" s="342"/>
      <c r="H209" s="342"/>
      <c r="I209" s="342"/>
      <c r="J209" s="342"/>
      <c r="K209" s="342"/>
      <c r="L209" s="342"/>
      <c r="M209" s="342"/>
      <c r="N209" s="343"/>
      <c r="O209" s="98">
        <f>O208+O186+O173+O150</f>
        <v>3707498.419944465</v>
      </c>
      <c r="P209" s="98"/>
      <c r="Q209" s="101"/>
      <c r="R209" s="213"/>
      <c r="S209" s="101">
        <f>S208+S186+S173+S150</f>
        <v>0</v>
      </c>
      <c r="T209" s="101">
        <f>T208+T186+T173+T150</f>
        <v>21400</v>
      </c>
      <c r="U209" s="235">
        <f t="shared" si="4"/>
        <v>21400</v>
      </c>
    </row>
    <row r="210" spans="1:21" s="16" customFormat="1" ht="15.75" customHeight="1">
      <c r="A210" s="295"/>
      <c r="B210" s="297"/>
      <c r="C210" s="59"/>
      <c r="D210" s="59"/>
      <c r="E210" s="59"/>
      <c r="F210" s="59"/>
      <c r="G210" s="79"/>
      <c r="H210" s="79"/>
      <c r="I210" s="79"/>
      <c r="J210" s="79"/>
      <c r="K210" s="395" t="s">
        <v>26</v>
      </c>
      <c r="L210" s="395"/>
      <c r="M210" s="395"/>
      <c r="N210" s="395"/>
      <c r="O210" s="137">
        <v>0</v>
      </c>
      <c r="P210" s="137"/>
      <c r="Q210" s="159"/>
      <c r="R210" s="221"/>
      <c r="S210" s="158">
        <v>0</v>
      </c>
      <c r="T210" s="158">
        <v>0</v>
      </c>
      <c r="U210" s="235">
        <f t="shared" si="4"/>
        <v>0</v>
      </c>
    </row>
    <row r="211" spans="1:21" s="16" customFormat="1" ht="15.75" customHeight="1">
      <c r="A211" s="272"/>
      <c r="B211" s="274"/>
      <c r="C211" s="58"/>
      <c r="D211" s="58"/>
      <c r="E211" s="58"/>
      <c r="F211" s="58"/>
      <c r="G211" s="81"/>
      <c r="H211" s="81"/>
      <c r="I211" s="81"/>
      <c r="J211" s="81"/>
      <c r="K211" s="395" t="s">
        <v>27</v>
      </c>
      <c r="L211" s="395"/>
      <c r="M211" s="395"/>
      <c r="N211" s="395"/>
      <c r="O211" s="138">
        <f>O209-O210</f>
        <v>3707498.419944465</v>
      </c>
      <c r="P211" s="138"/>
      <c r="Q211" s="160"/>
      <c r="R211" s="222"/>
      <c r="S211" s="239">
        <f>S209-S210</f>
        <v>0</v>
      </c>
      <c r="T211" s="239">
        <f>T209-T210</f>
        <v>21400</v>
      </c>
      <c r="U211" s="235">
        <f t="shared" si="4"/>
        <v>21400</v>
      </c>
    </row>
    <row r="212" spans="1:21" s="16" customFormat="1" ht="13.5">
      <c r="A212" s="75"/>
      <c r="B212" s="57"/>
      <c r="C212" s="396" t="s">
        <v>115</v>
      </c>
      <c r="D212" s="396"/>
      <c r="E212" s="396"/>
      <c r="F212" s="396"/>
      <c r="G212" s="396"/>
      <c r="H212" s="396"/>
      <c r="I212" s="396"/>
      <c r="J212" s="396"/>
      <c r="K212" s="396"/>
      <c r="L212" s="396"/>
      <c r="M212" s="396"/>
      <c r="N212" s="396"/>
      <c r="O212" s="100">
        <f>O209+O66+O129+O88</f>
        <v>7825562.736800202</v>
      </c>
      <c r="P212" s="100"/>
      <c r="Q212" s="161"/>
      <c r="R212" s="223"/>
      <c r="S212" s="101" t="e">
        <f>S209+S66+S129+S88</f>
        <v>#REF!</v>
      </c>
      <c r="T212" s="101">
        <f>T209+T66+T129+T88</f>
        <v>2623379.989999818</v>
      </c>
      <c r="U212" s="235" t="e">
        <f t="shared" si="4"/>
        <v>#REF!</v>
      </c>
    </row>
    <row r="213" spans="1:21" ht="13.5">
      <c r="A213" s="398"/>
      <c r="B213" s="399"/>
      <c r="C213" s="399"/>
      <c r="D213" s="399"/>
      <c r="E213" s="56"/>
      <c r="F213" s="56"/>
      <c r="G213" s="56"/>
      <c r="H213" s="56"/>
      <c r="I213" s="56"/>
      <c r="J213" s="56"/>
      <c r="K213" s="394" t="s">
        <v>29</v>
      </c>
      <c r="L213" s="394"/>
      <c r="M213" s="394"/>
      <c r="N213" s="394"/>
      <c r="O213" s="136">
        <f>O67</f>
        <v>232766</v>
      </c>
      <c r="P213" s="136"/>
      <c r="Q213" s="162"/>
      <c r="R213" s="224"/>
      <c r="S213" s="240" t="e">
        <f>S67</f>
        <v>#REF!</v>
      </c>
      <c r="T213" s="240" t="e">
        <f>T67</f>
        <v>#REF!</v>
      </c>
      <c r="U213" s="235" t="e">
        <f t="shared" si="4"/>
        <v>#REF!</v>
      </c>
    </row>
    <row r="214" spans="1:21" ht="13.5">
      <c r="A214" s="92"/>
      <c r="B214" s="68"/>
      <c r="C214" s="68"/>
      <c r="D214" s="68"/>
      <c r="E214" s="68"/>
      <c r="F214" s="68"/>
      <c r="G214" s="68"/>
      <c r="H214" s="68"/>
      <c r="I214" s="68"/>
      <c r="J214" s="68"/>
      <c r="K214" s="397" t="s">
        <v>30</v>
      </c>
      <c r="L214" s="397"/>
      <c r="M214" s="397"/>
      <c r="N214" s="397"/>
      <c r="O214" s="136">
        <f>O212-O213</f>
        <v>7592796.736800202</v>
      </c>
      <c r="P214" s="136"/>
      <c r="Q214" s="136"/>
      <c r="R214" s="224"/>
      <c r="S214" s="240" t="e">
        <f>S212-S213</f>
        <v>#REF!</v>
      </c>
      <c r="T214" s="240" t="e">
        <f>T212-T213</f>
        <v>#REF!</v>
      </c>
      <c r="U214" s="235" t="e">
        <f t="shared" si="4"/>
        <v>#REF!</v>
      </c>
    </row>
    <row r="215" spans="3:14" ht="12.75">
      <c r="C215" s="9"/>
      <c r="D215" s="10"/>
      <c r="E215" s="10"/>
      <c r="F215" s="10"/>
      <c r="G215" s="10"/>
      <c r="I215" s="10"/>
      <c r="J215" s="11"/>
      <c r="K215" s="10"/>
      <c r="L215" s="10"/>
      <c r="N215" s="11"/>
    </row>
    <row r="216" spans="3:16" ht="12.75" hidden="1">
      <c r="C216" s="9"/>
      <c r="D216" s="10"/>
      <c r="E216" s="10"/>
      <c r="F216" s="10"/>
      <c r="G216" s="10"/>
      <c r="I216" s="10"/>
      <c r="J216" s="11"/>
      <c r="K216" s="10"/>
      <c r="L216" s="10"/>
      <c r="N216" s="431" t="s">
        <v>62</v>
      </c>
      <c r="O216" s="431"/>
      <c r="P216" s="163"/>
    </row>
    <row r="217" spans="3:16" ht="12.75" hidden="1">
      <c r="C217" s="9"/>
      <c r="D217" s="10"/>
      <c r="E217" s="10"/>
      <c r="F217" s="10"/>
      <c r="G217" s="10"/>
      <c r="I217" s="10"/>
      <c r="J217" s="11"/>
      <c r="K217" s="10"/>
      <c r="L217" s="10"/>
      <c r="M217" s="41" t="s">
        <v>54</v>
      </c>
      <c r="N217" s="42"/>
      <c r="O217" s="46" t="e">
        <f>SUM(O13:O21)+SUM(O35:O43)+SUM(O50:O54)+SUM(O55:O56)+SUM(O73:O84)+SUM(O95:O104)+SUM(O175:O181)+SUM(#REF!)+SUM(O136:O145)+SUM(O153:O169)+SUM(O188:O206)</f>
        <v>#REF!</v>
      </c>
      <c r="P217" s="46"/>
    </row>
    <row r="218" spans="3:16" ht="18" customHeight="1" hidden="1">
      <c r="C218" s="9"/>
      <c r="D218" s="10"/>
      <c r="E218" s="10"/>
      <c r="F218" s="10"/>
      <c r="G218" s="10"/>
      <c r="I218" s="10"/>
      <c r="J218" s="11"/>
      <c r="K218" s="10"/>
      <c r="L218" s="10"/>
      <c r="M218" s="41" t="s">
        <v>60</v>
      </c>
      <c r="N218" s="42"/>
      <c r="O218" s="46">
        <f>SUMIF($L$13:$L$207,M218,$O$13:$O$207)</f>
        <v>232766</v>
      </c>
      <c r="P218" s="46"/>
    </row>
    <row r="219" spans="13:16" ht="12.75" hidden="1">
      <c r="M219" s="45" t="s">
        <v>63</v>
      </c>
      <c r="N219" s="43"/>
      <c r="O219" s="46" t="e">
        <f>O217+O218</f>
        <v>#REF!</v>
      </c>
      <c r="P219" s="46"/>
    </row>
    <row r="220" spans="1:14" ht="13.5" customHeight="1">
      <c r="A220" s="11" t="s">
        <v>55</v>
      </c>
      <c r="D220" s="9" t="s">
        <v>56</v>
      </c>
      <c r="F220" s="9"/>
      <c r="G220" s="10"/>
      <c r="H220" s="9"/>
      <c r="I220" s="10"/>
      <c r="J220" s="9"/>
      <c r="K220" s="10"/>
      <c r="L220" s="9" t="s">
        <v>57</v>
      </c>
      <c r="M220" s="9"/>
      <c r="N220" s="9"/>
    </row>
    <row r="221" spans="1:14" ht="12.75">
      <c r="A221" s="34"/>
      <c r="D221" s="10"/>
      <c r="E221" s="10"/>
      <c r="G221" s="10"/>
      <c r="H221" s="9"/>
      <c r="I221" s="10"/>
      <c r="J221" s="9"/>
      <c r="K221" s="10"/>
      <c r="L221" s="10"/>
      <c r="M221" s="9"/>
      <c r="N221" s="9"/>
    </row>
    <row r="222" spans="1:16" ht="12.75">
      <c r="A222" s="95" t="s">
        <v>119</v>
      </c>
      <c r="B222" s="35"/>
      <c r="D222" s="37"/>
      <c r="E222" s="35"/>
      <c r="F222" s="36"/>
      <c r="G222" s="29"/>
      <c r="H222" s="33"/>
      <c r="I222" s="18"/>
      <c r="J222" s="33"/>
      <c r="K222" s="10"/>
      <c r="L222" s="37"/>
      <c r="M222" s="37"/>
      <c r="N222" s="35"/>
      <c r="O222" s="35"/>
      <c r="P222" s="16"/>
    </row>
    <row r="223" spans="1:14" ht="12.75">
      <c r="A223" s="11" t="s">
        <v>116</v>
      </c>
      <c r="B223" s="16"/>
      <c r="D223" s="11" t="s">
        <v>117</v>
      </c>
      <c r="E223" s="18"/>
      <c r="G223" s="10"/>
      <c r="H223" s="33"/>
      <c r="I223" s="18"/>
      <c r="J223" s="33"/>
      <c r="K223" s="18"/>
      <c r="L223" s="11" t="s">
        <v>118</v>
      </c>
      <c r="M223" s="9"/>
      <c r="N223" s="33"/>
    </row>
    <row r="225" spans="15:16" ht="12.75">
      <c r="O225" s="44"/>
      <c r="P225" s="44"/>
    </row>
  </sheetData>
  <sheetProtection/>
  <mergeCells count="315">
    <mergeCell ref="O188:O192"/>
    <mergeCell ref="L121:L122"/>
    <mergeCell ref="M121:M122"/>
    <mergeCell ref="N121:N122"/>
    <mergeCell ref="O121:O122"/>
    <mergeCell ref="K116:K117"/>
    <mergeCell ref="M180:M181"/>
    <mergeCell ref="C187:O187"/>
    <mergeCell ref="H176:H177"/>
    <mergeCell ref="C124:F125"/>
    <mergeCell ref="Q133:R133"/>
    <mergeCell ref="C132:O132"/>
    <mergeCell ref="C127:F127"/>
    <mergeCell ref="C120:F120"/>
    <mergeCell ref="H17:H19"/>
    <mergeCell ref="C20:F21"/>
    <mergeCell ref="J17:J19"/>
    <mergeCell ref="M112:M113"/>
    <mergeCell ref="N112:N113"/>
    <mergeCell ref="H118:H119"/>
    <mergeCell ref="A91:B91"/>
    <mergeCell ref="A73:B76"/>
    <mergeCell ref="A72:B72"/>
    <mergeCell ref="C112:F113"/>
    <mergeCell ref="G118:G119"/>
    <mergeCell ref="G92:J92"/>
    <mergeCell ref="C83:F83"/>
    <mergeCell ref="A92:B93"/>
    <mergeCell ref="C80:F82"/>
    <mergeCell ref="C102:F104"/>
    <mergeCell ref="C121:F123"/>
    <mergeCell ref="K121:K122"/>
    <mergeCell ref="C88:N88"/>
    <mergeCell ref="I57:I59"/>
    <mergeCell ref="J122:J123"/>
    <mergeCell ref="K118:K119"/>
    <mergeCell ref="C60:F62"/>
    <mergeCell ref="G60:G62"/>
    <mergeCell ref="K68:N68"/>
    <mergeCell ref="C86:F86"/>
    <mergeCell ref="Q10:R10"/>
    <mergeCell ref="Q70:R70"/>
    <mergeCell ref="I109:I111"/>
    <mergeCell ref="I118:I119"/>
    <mergeCell ref="K67:N67"/>
    <mergeCell ref="C65:N65"/>
    <mergeCell ref="H42:H43"/>
    <mergeCell ref="C66:N66"/>
    <mergeCell ref="Q92:R92"/>
    <mergeCell ref="O112:O113"/>
    <mergeCell ref="G128:K128"/>
    <mergeCell ref="C136:F137"/>
    <mergeCell ref="J136:J137"/>
    <mergeCell ref="A70:B71"/>
    <mergeCell ref="C70:F71"/>
    <mergeCell ref="G70:J70"/>
    <mergeCell ref="K70:K71"/>
    <mergeCell ref="A99:B129"/>
    <mergeCell ref="C92:F93"/>
    <mergeCell ref="K131:N131"/>
    <mergeCell ref="A13:B16"/>
    <mergeCell ref="G80:G82"/>
    <mergeCell ref="H80:H82"/>
    <mergeCell ref="A95:B98"/>
    <mergeCell ref="A77:B90"/>
    <mergeCell ref="A69:B69"/>
    <mergeCell ref="C15:F16"/>
    <mergeCell ref="C72:O72"/>
    <mergeCell ref="G57:G59"/>
    <mergeCell ref="C54:F54"/>
    <mergeCell ref="C55:F55"/>
    <mergeCell ref="I42:I43"/>
    <mergeCell ref="C49:O49"/>
    <mergeCell ref="I60:I62"/>
    <mergeCell ref="C50:F51"/>
    <mergeCell ref="H44:H45"/>
    <mergeCell ref="I44:I45"/>
    <mergeCell ref="C47:F47"/>
    <mergeCell ref="H60:H62"/>
    <mergeCell ref="H57:H59"/>
    <mergeCell ref="N216:O216"/>
    <mergeCell ref="K90:N90"/>
    <mergeCell ref="A136:B138"/>
    <mergeCell ref="K138:K139"/>
    <mergeCell ref="K92:K93"/>
    <mergeCell ref="C175:F175"/>
    <mergeCell ref="A94:B94"/>
    <mergeCell ref="J118:J119"/>
    <mergeCell ref="J109:J111"/>
    <mergeCell ref="H109:H111"/>
    <mergeCell ref="C69:O69"/>
    <mergeCell ref="G86:J86"/>
    <mergeCell ref="K89:N89"/>
    <mergeCell ref="C87:N87"/>
    <mergeCell ref="C73:F76"/>
    <mergeCell ref="J80:J82"/>
    <mergeCell ref="L70:O70"/>
    <mergeCell ref="C77:F79"/>
    <mergeCell ref="I20:I23"/>
    <mergeCell ref="C64:F64"/>
    <mergeCell ref="C41:F41"/>
    <mergeCell ref="J60:J62"/>
    <mergeCell ref="G42:G43"/>
    <mergeCell ref="J44:J45"/>
    <mergeCell ref="C37:F38"/>
    <mergeCell ref="J42:J43"/>
    <mergeCell ref="J37:J38"/>
    <mergeCell ref="J57:J59"/>
    <mergeCell ref="A12:B12"/>
    <mergeCell ref="C35:F36"/>
    <mergeCell ref="C17:F19"/>
    <mergeCell ref="G17:G19"/>
    <mergeCell ref="A18:B65"/>
    <mergeCell ref="C23:F23"/>
    <mergeCell ref="G39:G40"/>
    <mergeCell ref="G37:G38"/>
    <mergeCell ref="C48:N48"/>
    <mergeCell ref="C56:F56"/>
    <mergeCell ref="A5:B5"/>
    <mergeCell ref="G64:J64"/>
    <mergeCell ref="A6:B6"/>
    <mergeCell ref="A7:B7"/>
    <mergeCell ref="A9:B9"/>
    <mergeCell ref="I37:I38"/>
    <mergeCell ref="C33:N33"/>
    <mergeCell ref="C10:F11"/>
    <mergeCell ref="J20:J21"/>
    <mergeCell ref="G35:G36"/>
    <mergeCell ref="A1:O1"/>
    <mergeCell ref="A2:O2"/>
    <mergeCell ref="G10:J10"/>
    <mergeCell ref="K10:K11"/>
    <mergeCell ref="L10:O10"/>
    <mergeCell ref="A10:B11"/>
    <mergeCell ref="L8:O8"/>
    <mergeCell ref="A3:B3"/>
    <mergeCell ref="A4:B4"/>
    <mergeCell ref="C7:D7"/>
    <mergeCell ref="K214:N214"/>
    <mergeCell ref="G185:J185"/>
    <mergeCell ref="C207:F207"/>
    <mergeCell ref="A213:D213"/>
    <mergeCell ref="A210:B211"/>
    <mergeCell ref="A209:B209"/>
    <mergeCell ref="A206:B206"/>
    <mergeCell ref="A197:B197"/>
    <mergeCell ref="A188:B190"/>
    <mergeCell ref="C188:D189"/>
    <mergeCell ref="K213:N213"/>
    <mergeCell ref="E201:F201"/>
    <mergeCell ref="K210:N210"/>
    <mergeCell ref="K211:N211"/>
    <mergeCell ref="C209:N209"/>
    <mergeCell ref="E198:F198"/>
    <mergeCell ref="G188:G206"/>
    <mergeCell ref="C212:N212"/>
    <mergeCell ref="C191:D192"/>
    <mergeCell ref="C208:N208"/>
    <mergeCell ref="K180:K181"/>
    <mergeCell ref="E195:F195"/>
    <mergeCell ref="L180:L181"/>
    <mergeCell ref="J188:J206"/>
    <mergeCell ref="I188:I206"/>
    <mergeCell ref="E205:F205"/>
    <mergeCell ref="C185:F185"/>
    <mergeCell ref="C182:F183"/>
    <mergeCell ref="C186:N186"/>
    <mergeCell ref="H188:H206"/>
    <mergeCell ref="K176:K177"/>
    <mergeCell ref="C176:F177"/>
    <mergeCell ref="K136:K137"/>
    <mergeCell ref="C174:O174"/>
    <mergeCell ref="H166:H168"/>
    <mergeCell ref="I144:I145"/>
    <mergeCell ref="H160:H164"/>
    <mergeCell ref="G136:G137"/>
    <mergeCell ref="C165:F165"/>
    <mergeCell ref="J160:J164"/>
    <mergeCell ref="A133:B134"/>
    <mergeCell ref="I153:I155"/>
    <mergeCell ref="C149:F149"/>
    <mergeCell ref="G133:J133"/>
    <mergeCell ref="C153:F155"/>
    <mergeCell ref="H122:H123"/>
    <mergeCell ref="I122:I123"/>
    <mergeCell ref="I140:I143"/>
    <mergeCell ref="A132:B132"/>
    <mergeCell ref="G127:J127"/>
    <mergeCell ref="A201:B201"/>
    <mergeCell ref="A191:B191"/>
    <mergeCell ref="A193:B195"/>
    <mergeCell ref="E197:F197"/>
    <mergeCell ref="C196:D201"/>
    <mergeCell ref="E196:F196"/>
    <mergeCell ref="E193:F193"/>
    <mergeCell ref="E194:F194"/>
    <mergeCell ref="E199:F199"/>
    <mergeCell ref="E206:F206"/>
    <mergeCell ref="E202:F202"/>
    <mergeCell ref="E200:F200"/>
    <mergeCell ref="E188:F189"/>
    <mergeCell ref="G176:G177"/>
    <mergeCell ref="C166:F168"/>
    <mergeCell ref="C178:F178"/>
    <mergeCell ref="C173:N173"/>
    <mergeCell ref="C180:F181"/>
    <mergeCell ref="G180:G181"/>
    <mergeCell ref="L133:O133"/>
    <mergeCell ref="H136:H137"/>
    <mergeCell ref="K144:K145"/>
    <mergeCell ref="K146:K147"/>
    <mergeCell ref="G144:G145"/>
    <mergeCell ref="J158:J159"/>
    <mergeCell ref="H153:H155"/>
    <mergeCell ref="C151:O152"/>
    <mergeCell ref="I136:I137"/>
    <mergeCell ref="C140:F143"/>
    <mergeCell ref="H180:H181"/>
    <mergeCell ref="I180:I181"/>
    <mergeCell ref="J180:J181"/>
    <mergeCell ref="I176:I177"/>
    <mergeCell ref="J176:J177"/>
    <mergeCell ref="G166:G168"/>
    <mergeCell ref="K153:K155"/>
    <mergeCell ref="I158:I159"/>
    <mergeCell ref="G158:G159"/>
    <mergeCell ref="J153:J155"/>
    <mergeCell ref="K160:K164"/>
    <mergeCell ref="G160:G164"/>
    <mergeCell ref="I160:I164"/>
    <mergeCell ref="J144:J145"/>
    <mergeCell ref="C138:F139"/>
    <mergeCell ref="C160:F164"/>
    <mergeCell ref="H158:H159"/>
    <mergeCell ref="J166:J168"/>
    <mergeCell ref="I166:I168"/>
    <mergeCell ref="J140:J143"/>
    <mergeCell ref="K166:K168"/>
    <mergeCell ref="C179:F179"/>
    <mergeCell ref="C133:F134"/>
    <mergeCell ref="C146:F147"/>
    <mergeCell ref="K133:K134"/>
    <mergeCell ref="H144:H145"/>
    <mergeCell ref="C144:F145"/>
    <mergeCell ref="G140:G143"/>
    <mergeCell ref="C150:N150"/>
    <mergeCell ref="H140:H143"/>
    <mergeCell ref="H35:H36"/>
    <mergeCell ref="J35:J36"/>
    <mergeCell ref="G47:J47"/>
    <mergeCell ref="I35:I36"/>
    <mergeCell ref="H39:H40"/>
    <mergeCell ref="I39:I40"/>
    <mergeCell ref="G44:G45"/>
    <mergeCell ref="J39:J40"/>
    <mergeCell ref="H37:H38"/>
    <mergeCell ref="A135:B135"/>
    <mergeCell ref="C158:F159"/>
    <mergeCell ref="C129:N129"/>
    <mergeCell ref="C135:O135"/>
    <mergeCell ref="A140:B187"/>
    <mergeCell ref="K158:K159"/>
    <mergeCell ref="G153:G155"/>
    <mergeCell ref="K130:N130"/>
    <mergeCell ref="K140:K143"/>
    <mergeCell ref="C156:F157"/>
    <mergeCell ref="C107:N107"/>
    <mergeCell ref="C99:F99"/>
    <mergeCell ref="C97:F98"/>
    <mergeCell ref="C106:F106"/>
    <mergeCell ref="C114:F114"/>
    <mergeCell ref="C118:F119"/>
    <mergeCell ref="C109:F111"/>
    <mergeCell ref="C115:F115"/>
    <mergeCell ref="C116:F117"/>
    <mergeCell ref="C12:O12"/>
    <mergeCell ref="C13:F14"/>
    <mergeCell ref="L92:O92"/>
    <mergeCell ref="G122:G123"/>
    <mergeCell ref="K109:K111"/>
    <mergeCell ref="G109:G111"/>
    <mergeCell ref="K112:K113"/>
    <mergeCell ref="L112:L113"/>
    <mergeCell ref="G106:J106"/>
    <mergeCell ref="C94:O94"/>
    <mergeCell ref="C34:O34"/>
    <mergeCell ref="C42:F43"/>
    <mergeCell ref="G20:G23"/>
    <mergeCell ref="H20:H23"/>
    <mergeCell ref="M7:O7"/>
    <mergeCell ref="K17:K18"/>
    <mergeCell ref="L17:L18"/>
    <mergeCell ref="M17:M18"/>
    <mergeCell ref="N17:N18"/>
    <mergeCell ref="O17:O18"/>
    <mergeCell ref="C184:F184"/>
    <mergeCell ref="I17:I19"/>
    <mergeCell ref="I80:I82"/>
    <mergeCell ref="C148:F148"/>
    <mergeCell ref="C100:F101"/>
    <mergeCell ref="C108:O108"/>
    <mergeCell ref="C52:F53"/>
    <mergeCell ref="C84:F84"/>
    <mergeCell ref="C169:F171"/>
    <mergeCell ref="C57:F59"/>
    <mergeCell ref="E203:F204"/>
    <mergeCell ref="C22:F22"/>
    <mergeCell ref="C46:F46"/>
    <mergeCell ref="C63:F63"/>
    <mergeCell ref="C85:F85"/>
    <mergeCell ref="C105:F105"/>
    <mergeCell ref="C126:F126"/>
    <mergeCell ref="C95:F96"/>
    <mergeCell ref="C44:F45"/>
    <mergeCell ref="C39:F40"/>
  </mergeCells>
  <printOptions horizontalCentered="1" verticalCentered="1"/>
  <pageMargins left="0.208661417" right="0.25" top="0.801181102" bottom="0.301181102" header="0.31496062992126" footer="0.31496062992126"/>
  <pageSetup fitToHeight="0" fitToWidth="0" horizontalDpi="600" verticalDpi="600" orientation="landscape" paperSize="9" scale="80" r:id="rId1"/>
  <rowBreaks count="1" manualBreakCount="1">
    <brk id="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Olena Novobranets</cp:lastModifiedBy>
  <cp:lastPrinted>2016-12-23T08:32:33Z</cp:lastPrinted>
  <dcterms:created xsi:type="dcterms:W3CDTF">2006-12-19T12:53:39Z</dcterms:created>
  <dcterms:modified xsi:type="dcterms:W3CDTF">2018-02-28T13:51:55Z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ATLASPDC-4-80797</vt:lpwstr>
  </property>
  <property fmtid="{D5CDD505-2E9C-101B-9397-08002B2CF9AE}" pid="4" name="_dlc_DocIdItemGu">
    <vt:lpwstr>6bcd6f87-4180-4c8e-88b8-8efa13e449f3</vt:lpwstr>
  </property>
  <property fmtid="{D5CDD505-2E9C-101B-9397-08002B2CF9AE}" pid="5" name="_dlc_DocIdU">
    <vt:lpwstr>https://info.undp.org/docs/pdc/_layouts/DocIdRedir.aspx?ID=ATLASPDC-4-80797, ATLASPDC-4-80797</vt:lpwstr>
  </property>
  <property fmtid="{D5CDD505-2E9C-101B-9397-08002B2CF9AE}" pid="6" name="UN Languag">
    <vt:lpwstr>1;#English|7f98b732-4b5b-4b70-ba90-a0eff09b5d2d</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UndpDocStat">
    <vt:lpwstr>Draft</vt:lpwstr>
  </property>
  <property fmtid="{D5CDD505-2E9C-101B-9397-08002B2CF9AE}" pid="10" name="Atlas Document Ty">
    <vt:lpwstr>1113;#Annual/Multi-Year Workplan|32cd623a-3734-435b-a6ba-7b0d4a2fa8e7</vt:lpwstr>
  </property>
  <property fmtid="{D5CDD505-2E9C-101B-9397-08002B2CF9AE}" pid="11" name="UNDPCountryTaxHTFiel">
    <vt:lpwstr/>
  </property>
  <property fmtid="{D5CDD505-2E9C-101B-9397-08002B2CF9AE}" pid="12" name="UN LanguagesTaxHTFiel">
    <vt:lpwstr>English|7f98b732-4b5b-4b70-ba90-a0eff09b5d2d</vt:lpwstr>
  </property>
  <property fmtid="{D5CDD505-2E9C-101B-9397-08002B2CF9AE}" pid="13" name="UNDPFocusAreasTaxHTFiel">
    <vt:lpwstr/>
  </property>
  <property fmtid="{D5CDD505-2E9C-101B-9397-08002B2CF9AE}" pid="14" name="gc6531b704974d528487414686b72f">
    <vt:lpwstr>UKR|ac2a8763-b8b1-4ebb-b99d-0d83724bc392</vt:lpwstr>
  </property>
  <property fmtid="{D5CDD505-2E9C-101B-9397-08002B2CF9AE}" pid="15" name="Operating Uni">
    <vt:lpwstr>1691;#UKR|ac2a8763-b8b1-4ebb-b99d-0d83724bc392</vt:lpwstr>
  </property>
  <property fmtid="{D5CDD505-2E9C-101B-9397-08002B2CF9AE}" pid="16" name="UndpClassificationLev">
    <vt:lpwstr>Public</vt:lpwstr>
  </property>
  <property fmtid="{D5CDD505-2E9C-101B-9397-08002B2CF9AE}" pid="17" name="UndpOUCo">
    <vt:lpwstr/>
  </property>
  <property fmtid="{D5CDD505-2E9C-101B-9397-08002B2CF9AE}" pid="18" name="idff2b682fce4d0680503cd9036a32">
    <vt:lpwstr>Annual/Multi-Year Workplan|32cd623a-3734-435b-a6ba-7b0d4a2fa8e7</vt:lpwstr>
  </property>
  <property fmtid="{D5CDD505-2E9C-101B-9397-08002B2CF9AE}" pid="19" name="UNDPFocusAre">
    <vt:lpwstr/>
  </property>
  <property fmtid="{D5CDD505-2E9C-101B-9397-08002B2CF9AE}" pid="20" name="Outcom">
    <vt:lpwstr/>
  </property>
  <property fmtid="{D5CDD505-2E9C-101B-9397-08002B2CF9AE}" pid="21" name="PDC Document Catego">
    <vt:lpwstr>Project</vt:lpwstr>
  </property>
  <property fmtid="{D5CDD505-2E9C-101B-9397-08002B2CF9AE}" pid="22" name="UndpProject">
    <vt:lpwstr>00083522</vt:lpwstr>
  </property>
  <property fmtid="{D5CDD505-2E9C-101B-9397-08002B2CF9AE}" pid="23" name="TaxCatchA">
    <vt:lpwstr>763;#Draft|121d40a5-e62e-4d42-82e4-d6d12003de0a;#1691;#UKR|ac2a8763-b8b1-4ebb-b99d-0d83724bc392;#1;#English|7f98b732-4b5b-4b70-ba90-a0eff09b5d2d;#1113;#Annual/Multi-Year Workplan|32cd623a-3734-435b-a6ba-7b0d4a2fa8e7</vt:lpwstr>
  </property>
  <property fmtid="{D5CDD505-2E9C-101B-9397-08002B2CF9AE}" pid="24" name="_Publish">
    <vt:lpwstr/>
  </property>
  <property fmtid="{D5CDD505-2E9C-101B-9397-08002B2CF9AE}" pid="25" name="Project Numb">
    <vt:lpwstr/>
  </property>
  <property fmtid="{D5CDD505-2E9C-101B-9397-08002B2CF9AE}" pid="26" name="o4086b1782a74105bb5269035bccc8">
    <vt:lpwstr>Draft|121d40a5-e62e-4d42-82e4-d6d12003de0a</vt:lpwstr>
  </property>
  <property fmtid="{D5CDD505-2E9C-101B-9397-08002B2CF9AE}" pid="27" name="UndpDocType">
    <vt:lpwstr/>
  </property>
  <property fmtid="{D5CDD505-2E9C-101B-9397-08002B2CF9AE}" pid="28" name="U">
    <vt:lpwstr/>
  </property>
  <property fmtid="{D5CDD505-2E9C-101B-9397-08002B2CF9AE}" pid="29" name="b6db62fdefd74bd188b0c1cc54de5b">
    <vt:lpwstr/>
  </property>
  <property fmtid="{D5CDD505-2E9C-101B-9397-08002B2CF9AE}" pid="30" name="UndpDoc">
    <vt:lpwstr/>
  </property>
  <property fmtid="{D5CDD505-2E9C-101B-9397-08002B2CF9AE}" pid="31" name="Un">
    <vt:lpwstr/>
  </property>
  <property fmtid="{D5CDD505-2E9C-101B-9397-08002B2CF9AE}" pid="32" name="UnitTaxHTFiel">
    <vt:lpwstr/>
  </property>
  <property fmtid="{D5CDD505-2E9C-101B-9397-08002B2CF9AE}" pid="33" name="Project Manag">
    <vt:lpwstr/>
  </property>
  <property fmtid="{D5CDD505-2E9C-101B-9397-08002B2CF9AE}" pid="34" name="UndpIsTempla">
    <vt:lpwstr>No</vt:lpwstr>
  </property>
  <property fmtid="{D5CDD505-2E9C-101B-9397-08002B2CF9AE}" pid="35" name="UNDPDocumentCatego">
    <vt:lpwstr/>
  </property>
  <property fmtid="{D5CDD505-2E9C-101B-9397-08002B2CF9AE}" pid="36" name="UNDPDocumentCategoryTaxHTFiel">
    <vt:lpwstr/>
  </property>
  <property fmtid="{D5CDD505-2E9C-101B-9397-08002B2CF9AE}" pid="37" name="Atlas Document Stat">
    <vt:lpwstr>763;#Draft|121d40a5-e62e-4d42-82e4-d6d12003de0a</vt:lpwstr>
  </property>
  <property fmtid="{D5CDD505-2E9C-101B-9397-08002B2CF9AE}" pid="38" name="UNDPSumma">
    <vt:lpwstr/>
  </property>
  <property fmtid="{D5CDD505-2E9C-101B-9397-08002B2CF9AE}" pid="39" name="UndpDocForm">
    <vt:lpwstr/>
  </property>
  <property fmtid="{D5CDD505-2E9C-101B-9397-08002B2CF9AE}" pid="40" name="UndpDocTypeMMTaxHTFiel">
    <vt:lpwstr/>
  </property>
  <property fmtid="{D5CDD505-2E9C-101B-9397-08002B2CF9AE}" pid="41" name="UNDPPublishedDa">
    <vt:lpwstr>2018-02-28T08:00:00Z</vt:lpwstr>
  </property>
  <property fmtid="{D5CDD505-2E9C-101B-9397-08002B2CF9AE}" pid="42" name="DocumentSetDescripti">
    <vt:lpwstr/>
  </property>
  <property fmtid="{D5CDD505-2E9C-101B-9397-08002B2CF9AE}" pid="43" name="UndpUnit">
    <vt:lpwstr/>
  </property>
  <property fmtid="{D5CDD505-2E9C-101B-9397-08002B2CF9AE}" pid="44" name="c4e2ab2cc9354bbf9064eeb465a566">
    <vt:lpwstr/>
  </property>
  <property fmtid="{D5CDD505-2E9C-101B-9397-08002B2CF9AE}" pid="45" name="eRegFilingCode">
    <vt:lpwstr/>
  </property>
  <property fmtid="{D5CDD505-2E9C-101B-9397-08002B2CF9AE}" pid="46" name="display_urn:schemas-microsoft-com:office:office#Edit">
    <vt:lpwstr>Olena Novobranets</vt:lpwstr>
  </property>
  <property fmtid="{D5CDD505-2E9C-101B-9397-08002B2CF9AE}" pid="47" name="display_urn:schemas-microsoft-com:office:office#Auth">
    <vt:lpwstr>Olena Novobranets</vt:lpwstr>
  </property>
</Properties>
</file>